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0" windowWidth="11580" windowHeight="6540" activeTab="1"/>
  </bookViews>
  <sheets>
    <sheet name="Formulae" sheetId="1" r:id="rId1"/>
    <sheet name="Examples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<sst xmlns="http://schemas.openxmlformats.org/spreadsheetml/2006/main" count="89" uniqueCount="89">
  <si>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CIEDE2000</t>
  </si>
  <si>
    <r>
      <t>X</t>
    </r>
    <r>
      <rPr>
        <vertAlign val="subscript"/>
        <sz val="10"/>
        <rFont val="Arial"/>
        <family val="2"/>
      </rPr>
      <t>0,10</t>
    </r>
  </si>
  <si>
    <r>
      <t>Y</t>
    </r>
    <r>
      <rPr>
        <vertAlign val="subscript"/>
        <sz val="10"/>
        <rFont val="Arial"/>
        <family val="2"/>
      </rPr>
      <t>0,10</t>
    </r>
  </si>
  <si>
    <r>
      <t>Z</t>
    </r>
    <r>
      <rPr>
        <vertAlign val="subscript"/>
        <sz val="10"/>
        <rFont val="Arial"/>
        <family val="2"/>
      </rPr>
      <t>0,10</t>
    </r>
  </si>
  <si>
    <t>examples</t>
  </si>
  <si>
    <t>pair</t>
  </si>
  <si>
    <t>1s</t>
  </si>
  <si>
    <t>1b</t>
  </si>
  <si>
    <r>
      <t>X</t>
    </r>
    <r>
      <rPr>
        <vertAlign val="subscript"/>
        <sz val="10"/>
        <rFont val="Arial"/>
        <family val="2"/>
      </rPr>
      <t>10</t>
    </r>
  </si>
  <si>
    <r>
      <t>Y</t>
    </r>
    <r>
      <rPr>
        <vertAlign val="subscript"/>
        <sz val="10"/>
        <rFont val="Arial"/>
        <family val="2"/>
      </rPr>
      <t>10</t>
    </r>
  </si>
  <si>
    <r>
      <t>Z</t>
    </r>
    <r>
      <rPr>
        <vertAlign val="subscript"/>
        <sz val="10"/>
        <rFont val="Arial"/>
        <family val="2"/>
      </rPr>
      <t>10</t>
    </r>
  </si>
  <si>
    <t>L*</t>
  </si>
  <si>
    <t>a*</t>
  </si>
  <si>
    <t>b*</t>
  </si>
  <si>
    <r>
      <t>C*</t>
    </r>
    <r>
      <rPr>
        <vertAlign val="subscript"/>
        <sz val="10"/>
        <rFont val="Arial"/>
        <family val="2"/>
      </rPr>
      <t>ab</t>
    </r>
  </si>
  <si>
    <r>
      <t>C*</t>
    </r>
    <r>
      <rPr>
        <vertAlign val="subscript"/>
        <sz val="10"/>
        <rFont val="Arial"/>
        <family val="2"/>
      </rPr>
      <t>ab,m</t>
    </r>
  </si>
  <si>
    <t>a'</t>
  </si>
  <si>
    <t>G</t>
  </si>
  <si>
    <t>C'</t>
  </si>
  <si>
    <t>h'</t>
  </si>
  <si>
    <r>
      <t>D</t>
    </r>
    <r>
      <rPr>
        <sz val="10"/>
        <rFont val="Arial"/>
        <family val="2"/>
      </rPr>
      <t>L'</t>
    </r>
  </si>
  <si>
    <r>
      <t>D</t>
    </r>
    <r>
      <rPr>
        <sz val="10"/>
        <rFont val="Arial"/>
        <family val="2"/>
      </rPr>
      <t>C'</t>
    </r>
  </si>
  <si>
    <r>
      <t>D</t>
    </r>
    <r>
      <rPr>
        <sz val="10"/>
        <rFont val="Arial"/>
        <family val="2"/>
      </rPr>
      <t>h'</t>
    </r>
  </si>
  <si>
    <r>
      <t>D</t>
    </r>
    <r>
      <rPr>
        <sz val="10"/>
        <rFont val="Arial"/>
        <family val="2"/>
      </rPr>
      <t>H'</t>
    </r>
  </si>
  <si>
    <r>
      <t>h'</t>
    </r>
    <r>
      <rPr>
        <vertAlign val="subscript"/>
        <sz val="10"/>
        <rFont val="Arial"/>
        <family val="2"/>
      </rPr>
      <t>m</t>
    </r>
  </si>
  <si>
    <r>
      <t>L'</t>
    </r>
    <r>
      <rPr>
        <vertAlign val="subscript"/>
        <sz val="10"/>
        <rFont val="Arial"/>
        <family val="2"/>
      </rPr>
      <t>m</t>
    </r>
  </si>
  <si>
    <r>
      <t>S</t>
    </r>
    <r>
      <rPr>
        <vertAlign val="subscript"/>
        <sz val="10"/>
        <rFont val="Arial"/>
        <family val="2"/>
      </rPr>
      <t>L</t>
    </r>
  </si>
  <si>
    <r>
      <t>S</t>
    </r>
    <r>
      <rPr>
        <vertAlign val="subscript"/>
        <sz val="10"/>
        <rFont val="Arial"/>
        <family val="2"/>
      </rPr>
      <t>C</t>
    </r>
  </si>
  <si>
    <t>T</t>
  </si>
  <si>
    <r>
      <t>S</t>
    </r>
    <r>
      <rPr>
        <vertAlign val="subscript"/>
        <sz val="10"/>
        <rFont val="Arial"/>
        <family val="2"/>
      </rPr>
      <t>H</t>
    </r>
  </si>
  <si>
    <t>DQ</t>
  </si>
  <si>
    <r>
      <t>R</t>
    </r>
    <r>
      <rPr>
        <vertAlign val="subscript"/>
        <sz val="10"/>
        <rFont val="Arial"/>
        <family val="2"/>
      </rPr>
      <t>T</t>
    </r>
  </si>
  <si>
    <r>
      <t>C'</t>
    </r>
    <r>
      <rPr>
        <vertAlign val="subscript"/>
        <sz val="10"/>
        <rFont val="Arial"/>
        <family val="2"/>
      </rPr>
      <t>m</t>
    </r>
  </si>
  <si>
    <r>
      <t>D</t>
    </r>
    <r>
      <rPr>
        <sz val="10"/>
        <rFont val="Arial"/>
        <family val="2"/>
      </rPr>
      <t>E</t>
    </r>
    <r>
      <rPr>
        <vertAlign val="subscript"/>
        <sz val="10"/>
        <rFont val="Arial"/>
        <family val="2"/>
      </rPr>
      <t>00</t>
    </r>
  </si>
  <si>
    <t>2s</t>
  </si>
  <si>
    <t>2b</t>
  </si>
  <si>
    <t>3s</t>
  </si>
  <si>
    <t>3b</t>
  </si>
  <si>
    <t>4s</t>
  </si>
  <si>
    <t>4b</t>
  </si>
  <si>
    <t>5s</t>
  </si>
  <si>
    <t>5b</t>
  </si>
  <si>
    <t>6s</t>
  </si>
  <si>
    <t>6b</t>
  </si>
  <si>
    <t>7s</t>
  </si>
  <si>
    <t>7b</t>
  </si>
  <si>
    <t>8s</t>
  </si>
  <si>
    <t>8b</t>
  </si>
  <si>
    <t>9s</t>
  </si>
  <si>
    <t>9b</t>
  </si>
  <si>
    <r>
      <t>f(X/X</t>
    </r>
    <r>
      <rPr>
        <vertAlign val="subscript"/>
        <sz val="10"/>
        <rFont val="Arial"/>
        <family val="2"/>
      </rPr>
      <t>0,10</t>
    </r>
    <r>
      <rPr>
        <sz val="10"/>
        <rFont val="Arial"/>
        <family val="0"/>
      </rPr>
      <t>)</t>
    </r>
  </si>
  <si>
    <r>
      <t>f(Z/Z</t>
    </r>
    <r>
      <rPr>
        <vertAlign val="subscript"/>
        <sz val="10"/>
        <rFont val="Arial"/>
        <family val="2"/>
      </rPr>
      <t>0,10</t>
    </r>
    <r>
      <rPr>
        <sz val="10"/>
        <rFont val="Arial"/>
        <family val="0"/>
      </rPr>
      <t>)</t>
    </r>
  </si>
  <si>
    <t>10s</t>
  </si>
  <si>
    <t>10b</t>
  </si>
  <si>
    <t>CIEDE2000 formulae</t>
  </si>
  <si>
    <t>L' = L*</t>
  </si>
  <si>
    <t>a' = a*(1+G)</t>
  </si>
  <si>
    <t>b' = b*</t>
  </si>
  <si>
    <r>
      <t>C*</t>
    </r>
    <r>
      <rPr>
        <vertAlign val="subscript"/>
        <sz val="10"/>
        <rFont val="Arial"/>
        <family val="2"/>
      </rPr>
      <t>ab,m</t>
    </r>
    <r>
      <rPr>
        <sz val="10"/>
        <rFont val="Arial"/>
        <family val="0"/>
      </rPr>
      <t xml:space="preserve"> = (C*</t>
    </r>
    <r>
      <rPr>
        <vertAlign val="subscript"/>
        <sz val="10"/>
        <rFont val="Arial"/>
        <family val="2"/>
      </rPr>
      <t>ab,b</t>
    </r>
    <r>
      <rPr>
        <sz val="10"/>
        <rFont val="Arial"/>
        <family val="0"/>
      </rPr>
      <t>+C*</t>
    </r>
    <r>
      <rPr>
        <vertAlign val="subscript"/>
        <sz val="10"/>
        <rFont val="Arial"/>
        <family val="2"/>
      </rPr>
      <t>ab,s</t>
    </r>
    <r>
      <rPr>
        <sz val="10"/>
        <rFont val="Arial"/>
        <family val="0"/>
      </rPr>
      <t>)/2</t>
    </r>
  </si>
  <si>
    <t>C' = (a'^2+b'^2)^0,5</t>
  </si>
  <si>
    <r>
      <t>D</t>
    </r>
    <r>
      <rPr>
        <sz val="10"/>
        <rFont val="Arial"/>
        <family val="2"/>
      </rPr>
      <t xml:space="preserve">V = </t>
    </r>
    <r>
      <rPr>
        <sz val="10"/>
        <rFont val="Symbol"/>
        <family val="1"/>
      </rPr>
      <t>D</t>
    </r>
    <r>
      <rPr>
        <sz val="10"/>
        <rFont val="Arial"/>
        <family val="2"/>
      </rPr>
      <t>E</t>
    </r>
    <r>
      <rPr>
        <vertAlign val="subscript"/>
        <sz val="10"/>
        <rFont val="Arial"/>
        <family val="2"/>
      </rPr>
      <t>00</t>
    </r>
    <r>
      <rPr>
        <sz val="10"/>
        <rFont val="Arial"/>
        <family val="2"/>
      </rPr>
      <t>/k</t>
    </r>
    <r>
      <rPr>
        <vertAlign val="subscript"/>
        <sz val="10"/>
        <rFont val="Arial"/>
        <family val="2"/>
      </rPr>
      <t>E</t>
    </r>
  </si>
  <si>
    <r>
      <t>k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 overall sensitivity factor</t>
    </r>
  </si>
  <si>
    <r>
      <t>D</t>
    </r>
    <r>
      <rPr>
        <sz val="10"/>
        <rFont val="Arial"/>
        <family val="2"/>
      </rPr>
      <t>E</t>
    </r>
    <r>
      <rPr>
        <vertAlign val="subscript"/>
        <sz val="10"/>
        <rFont val="Arial"/>
        <family val="2"/>
      </rPr>
      <t xml:space="preserve">00 </t>
    </r>
    <r>
      <rPr>
        <sz val="10"/>
        <rFont val="Arial"/>
        <family val="2"/>
      </rPr>
      <t>= ((</t>
    </r>
    <r>
      <rPr>
        <sz val="10"/>
        <rFont val="Symbol"/>
        <family val="1"/>
      </rPr>
      <t>D</t>
    </r>
    <r>
      <rPr>
        <sz val="10"/>
        <rFont val="Arial"/>
        <family val="2"/>
      </rPr>
      <t>L'/k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)^2+(</t>
    </r>
    <r>
      <rPr>
        <sz val="10"/>
        <rFont val="Symbol"/>
        <family val="1"/>
      </rPr>
      <t>D</t>
    </r>
    <r>
      <rPr>
        <sz val="10"/>
        <rFont val="Arial"/>
        <family val="2"/>
      </rPr>
      <t>C'/k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)^2+(</t>
    </r>
    <r>
      <rPr>
        <sz val="10"/>
        <rFont val="Symbol"/>
        <family val="1"/>
      </rPr>
      <t>D</t>
    </r>
    <r>
      <rPr>
        <sz val="10"/>
        <rFont val="Arial"/>
        <family val="2"/>
      </rPr>
      <t>H'/k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)^2+R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(</t>
    </r>
    <r>
      <rPr>
        <sz val="10"/>
        <rFont val="Symbol"/>
        <family val="1"/>
      </rPr>
      <t>D</t>
    </r>
    <r>
      <rPr>
        <sz val="10"/>
        <rFont val="Arial"/>
        <family val="2"/>
      </rPr>
      <t>C'/k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)(</t>
    </r>
    <r>
      <rPr>
        <sz val="10"/>
        <rFont val="Symbol"/>
        <family val="1"/>
      </rPr>
      <t>D</t>
    </r>
    <r>
      <rPr>
        <sz val="10"/>
        <rFont val="Arial"/>
        <family val="2"/>
      </rPr>
      <t>H'/k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))^0,5</t>
    </r>
  </si>
  <si>
    <r>
      <t>D</t>
    </r>
    <r>
      <rPr>
        <sz val="10"/>
        <rFont val="Arial"/>
        <family val="2"/>
      </rPr>
      <t>L' = L'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- L'</t>
    </r>
    <r>
      <rPr>
        <vertAlign val="subscript"/>
        <sz val="10"/>
        <rFont val="Arial"/>
        <family val="2"/>
      </rPr>
      <t>s</t>
    </r>
  </si>
  <si>
    <t>s = standard, b = batch</t>
  </si>
  <si>
    <r>
      <t>D</t>
    </r>
    <r>
      <rPr>
        <sz val="10"/>
        <rFont val="Arial"/>
        <family val="2"/>
      </rPr>
      <t>C' = C'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- C'</t>
    </r>
    <r>
      <rPr>
        <vertAlign val="subscript"/>
        <sz val="10"/>
        <rFont val="Arial"/>
        <family val="2"/>
      </rPr>
      <t>s</t>
    </r>
  </si>
  <si>
    <r>
      <t>DH</t>
    </r>
    <r>
      <rPr>
        <sz val="10"/>
        <rFont val="Arial"/>
        <family val="2"/>
      </rPr>
      <t>' = 2(C'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 C'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)^0,5 sin(</t>
    </r>
    <r>
      <rPr>
        <sz val="10"/>
        <rFont val="Symbol"/>
        <family val="1"/>
      </rPr>
      <t>D</t>
    </r>
    <r>
      <rPr>
        <sz val="10"/>
        <rFont val="Arial"/>
        <family val="2"/>
      </rPr>
      <t>h'/2)</t>
    </r>
  </si>
  <si>
    <t>h' =tan^(-1)(b'/a')</t>
  </si>
  <si>
    <r>
      <t>D</t>
    </r>
    <r>
      <rPr>
        <sz val="10"/>
        <rFont val="Arial"/>
        <family val="2"/>
      </rPr>
      <t>h' = h'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- h'</t>
    </r>
    <r>
      <rPr>
        <vertAlign val="subscript"/>
        <sz val="10"/>
        <rFont val="Arial"/>
        <family val="2"/>
      </rPr>
      <t>s</t>
    </r>
  </si>
  <si>
    <t>add 360 to smaller h', if absolute value &gt; 180</t>
  </si>
  <si>
    <r>
      <t>S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 1 + (0,015(L'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-50)^2/(20+(L'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-50)^2)^0,5)</t>
    </r>
  </si>
  <si>
    <r>
      <t>L'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 (L'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+L'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)/2</t>
    </r>
  </si>
  <si>
    <r>
      <t>S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 1 + 0,045 C'</t>
    </r>
    <r>
      <rPr>
        <vertAlign val="subscript"/>
        <sz val="10"/>
        <rFont val="Arial"/>
        <family val="2"/>
      </rPr>
      <t>m</t>
    </r>
  </si>
  <si>
    <r>
      <t>S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 1 + 0,015 C'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T</t>
    </r>
  </si>
  <si>
    <r>
      <t>C'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 (C'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+C'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)/2</t>
    </r>
  </si>
  <si>
    <r>
      <t>T = 1-0,17cos(h'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-30)+0,24cos(2h'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)+0,32cos(3h'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+6)-0,20cos(4h'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-63)</t>
    </r>
  </si>
  <si>
    <r>
      <t>h'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 (h'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+h'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)/2</t>
    </r>
  </si>
  <si>
    <t>add 360 to smaller h', if absolute value of difference &gt; 180</t>
  </si>
  <si>
    <r>
      <t>k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, k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, k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0"/>
      </rPr>
      <t>= parametric weighting factors, for reference conditions set at 1</t>
    </r>
  </si>
  <si>
    <r>
      <t>R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0"/>
      </rPr>
      <t>= -sin(2</t>
    </r>
    <r>
      <rPr>
        <sz val="10"/>
        <rFont val="Symbol"/>
        <family val="1"/>
      </rPr>
      <t>DQ)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C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</si>
  <si>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 2(C'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^7/(C'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^7+25^7))^0,5</t>
    </r>
  </si>
  <si>
    <t>all angles are in degree units</t>
  </si>
  <si>
    <t xml:space="preserve">for programmers: </t>
  </si>
  <si>
    <r>
      <t xml:space="preserve">english EXCEL means replace </t>
    </r>
    <r>
      <rPr>
        <b/>
        <sz val="10"/>
        <rFont val="Arial"/>
        <family val="2"/>
      </rPr>
      <t xml:space="preserve">WENN </t>
    </r>
    <r>
      <rPr>
        <sz val="10"/>
        <rFont val="Arial"/>
        <family val="0"/>
      </rPr>
      <t xml:space="preserve">by </t>
    </r>
    <r>
      <rPr>
        <b/>
        <sz val="10"/>
        <rFont val="Arial"/>
        <family val="2"/>
      </rPr>
      <t>IF</t>
    </r>
  </si>
  <si>
    <r>
      <t xml:space="preserve">all trigonometric functions need conversion of </t>
    </r>
    <r>
      <rPr>
        <b/>
        <sz val="10"/>
        <rFont val="Arial"/>
        <family val="2"/>
      </rPr>
      <t>angle to radian</t>
    </r>
  </si>
  <si>
    <r>
      <t>a'</t>
    </r>
    <r>
      <rPr>
        <sz val="10"/>
        <rFont val="Arial"/>
        <family val="0"/>
      </rPr>
      <t xml:space="preserve"> here needs a </t>
    </r>
    <r>
      <rPr>
        <b/>
        <sz val="10"/>
        <rFont val="Arial"/>
        <family val="2"/>
      </rPr>
      <t>resetting of the fixed variable</t>
    </r>
    <r>
      <rPr>
        <sz val="10"/>
        <rFont val="Arial"/>
        <family val="0"/>
      </rPr>
      <t xml:space="preserve"> for every two lines </t>
    </r>
  </si>
  <si>
    <r>
      <t xml:space="preserve">DQ </t>
    </r>
    <r>
      <rPr>
        <sz val="10"/>
        <rFont val="Arial"/>
        <family val="2"/>
      </rPr>
      <t>= 30exp[-((h'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-275)/25)^2]</t>
    </r>
  </si>
  <si>
    <r>
      <t>G = 0,5(1-((C*</t>
    </r>
    <r>
      <rPr>
        <vertAlign val="subscript"/>
        <sz val="10"/>
        <rFont val="Arial"/>
        <family val="2"/>
      </rPr>
      <t>ab,m</t>
    </r>
    <r>
      <rPr>
        <sz val="10"/>
        <rFont val="Arial"/>
        <family val="0"/>
      </rPr>
      <t>^7)/(C*</t>
    </r>
    <r>
      <rPr>
        <vertAlign val="subscript"/>
        <sz val="10"/>
        <rFont val="Arial"/>
        <family val="2"/>
      </rPr>
      <t>ab,m</t>
    </r>
    <r>
      <rPr>
        <sz val="10"/>
        <rFont val="Arial"/>
        <family val="0"/>
      </rPr>
      <t>^7+25^7))^0,5)</t>
    </r>
  </si>
  <si>
    <r>
      <t>f(Y/Y</t>
    </r>
    <r>
      <rPr>
        <vertAlign val="subscript"/>
        <sz val="10"/>
        <rFont val="Arial"/>
        <family val="2"/>
      </rPr>
      <t>0,10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</si>
</sst>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</numFmts>
  <fonts count="4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32"/>
  <sheetViews>
    <sheetView workbookViewId="0" topLeftCell="A16">
      <selection activeCell="G13" sqref="G13"/>
    </sheetView>
  </sheetViews>
  <sheetFormatPr defaultColWidth="11.421875" defaultRowHeight="12.75"/>
  <sheetData>
    <row r="1" ht="12">
      <c r="A1" t="s">
        <v>54</v>
      </c>
    </row>
    <row r="3" ht="12">
      <c r="A3" t="s">
        <v>55</v>
      </c>
    </row>
    <row r="4" ht="12">
      <c r="A4" t="s">
        <v>56</v>
      </c>
    </row>
    <row r="5" ht="12">
      <c r="A5" t="s">
        <v>57</v>
      </c>
    </row>
    <row r="7" spans="1:5" ht="12">
      <c r="A7" t="s">
        <v>87</v>
      </c>
      <c r="E7" t="s">
        <v>58</v>
      </c>
    </row>
    <row r="9" spans="1:5" ht="12">
      <c r="A9" t="s">
        <v>59</v>
      </c>
      <c r="E9" t="s">
        <v>74</v>
      </c>
    </row>
    <row r="10" spans="1:7" ht="12">
      <c r="A10" t="s">
        <v>67</v>
      </c>
      <c r="E10" t="s">
        <v>76</v>
      </c>
      <c r="G10" t="s">
        <v>77</v>
      </c>
    </row>
    <row r="12" spans="1:3" ht="12">
      <c r="A12" s="3" t="s">
        <v>60</v>
      </c>
      <c r="C12" t="s">
        <v>61</v>
      </c>
    </row>
    <row r="14" ht="12">
      <c r="A14" s="3" t="s">
        <v>62</v>
      </c>
    </row>
    <row r="16" ht="12">
      <c r="A16" t="s">
        <v>78</v>
      </c>
    </row>
    <row r="18" spans="1:3" ht="12">
      <c r="A18" s="3" t="s">
        <v>63</v>
      </c>
      <c r="C18" t="s">
        <v>64</v>
      </c>
    </row>
    <row r="19" ht="12">
      <c r="A19" s="3" t="s">
        <v>65</v>
      </c>
    </row>
    <row r="20" spans="1:6" ht="12">
      <c r="A20" s="3" t="s">
        <v>66</v>
      </c>
      <c r="D20" s="3" t="s">
        <v>68</v>
      </c>
      <c r="F20" t="s">
        <v>69</v>
      </c>
    </row>
    <row r="22" spans="1:5" ht="12">
      <c r="A22" t="s">
        <v>70</v>
      </c>
      <c r="E22" t="s">
        <v>71</v>
      </c>
    </row>
    <row r="23" ht="12">
      <c r="A23" t="s">
        <v>72</v>
      </c>
    </row>
    <row r="24" ht="12">
      <c r="A24" t="s">
        <v>73</v>
      </c>
    </row>
    <row r="26" ht="12">
      <c r="B26" t="s">
        <v>75</v>
      </c>
    </row>
    <row r="28" ht="12">
      <c r="A28" t="s">
        <v>79</v>
      </c>
    </row>
    <row r="30" spans="2:6" ht="12">
      <c r="B30" s="3" t="s">
        <v>86</v>
      </c>
      <c r="F30" t="s">
        <v>81</v>
      </c>
    </row>
    <row r="32" ht="12">
      <c r="B32" t="s">
        <v>80</v>
      </c>
    </row>
  </sheetData>
  <printOptions/>
  <pageMargins left="0.75" right="0.75" top="1" bottom="1" header="0.4921259845" footer="0.49212598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E36"/>
  <sheetViews>
    <sheetView tabSelected="1" workbookViewId="0" topLeftCell="A7">
      <selection activeCell="E8" sqref="E8"/>
    </sheetView>
  </sheetViews>
  <sheetFormatPr defaultColWidth="11.421875" defaultRowHeight="12.75"/>
  <cols>
    <col min="1" max="1" width="5.00390625" style="0" customWidth="1"/>
    <col min="2" max="2" width="7.8515625" style="0" customWidth="1"/>
    <col min="3" max="3" width="8.140625" style="0" customWidth="1"/>
    <col min="4" max="4" width="8.7109375" style="0" customWidth="1"/>
    <col min="5" max="5" width="9.140625" style="0" customWidth="1"/>
    <col min="6" max="6" width="9.28125" style="0" customWidth="1"/>
    <col min="7" max="9" width="9.140625" style="0" customWidth="1"/>
    <col min="10" max="11" width="8.8515625" style="0" customWidth="1"/>
    <col min="12" max="12" width="9.00390625" style="0" customWidth="1"/>
    <col min="13" max="14" width="9.421875" style="0" customWidth="1"/>
    <col min="15" max="15" width="9.28125" style="0" customWidth="1"/>
    <col min="16" max="17" width="8.7109375" style="0" customWidth="1"/>
    <col min="18" max="18" width="7.421875" style="0" customWidth="1"/>
    <col min="19" max="19" width="7.140625" style="0" customWidth="1"/>
    <col min="20" max="21" width="7.421875" style="0" customWidth="1"/>
    <col min="22" max="22" width="7.28125" style="0" customWidth="1"/>
    <col min="23" max="24" width="7.7109375" style="0" customWidth="1"/>
    <col min="25" max="25" width="7.8515625" style="0" customWidth="1"/>
    <col min="26" max="26" width="7.28125" style="0" customWidth="1"/>
    <col min="27" max="28" width="7.421875" style="0" customWidth="1"/>
    <col min="29" max="29" width="9.140625" style="0" customWidth="1"/>
    <col min="30" max="30" width="9.28125" style="0" customWidth="1"/>
    <col min="31" max="31" width="7.7109375" style="0" customWidth="1"/>
  </cols>
  <sheetData>
    <row r="1" ht="12">
      <c r="A1" s="4" t="s">
        <v>0</v>
      </c>
    </row>
    <row r="2" spans="5:7" ht="12">
      <c r="E2" s="4" t="s">
        <v>82</v>
      </c>
      <c r="G2" t="s">
        <v>83</v>
      </c>
    </row>
    <row r="3" spans="1:7" ht="12">
      <c r="A3" s="4" t="s">
        <v>4</v>
      </c>
      <c r="G3" t="s">
        <v>84</v>
      </c>
    </row>
    <row r="4" spans="1:7" ht="12">
      <c r="A4" s="4"/>
      <c r="G4" s="4" t="s">
        <v>85</v>
      </c>
    </row>
    <row r="5" ht="12">
      <c r="A5" s="4"/>
    </row>
    <row r="7" spans="2:4" ht="12">
      <c r="B7" s="5" t="s">
        <v>1</v>
      </c>
      <c r="C7" s="5" t="s">
        <v>2</v>
      </c>
      <c r="D7" s="5" t="s">
        <v>3</v>
      </c>
    </row>
    <row r="8" spans="2:4" ht="12">
      <c r="B8" s="5">
        <v>94.811</v>
      </c>
      <c r="C8" s="5">
        <v>100</v>
      </c>
      <c r="D8" s="5">
        <v>107.304</v>
      </c>
    </row>
    <row r="10" spans="1:31" ht="12">
      <c r="A10" s="5" t="s">
        <v>5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50</v>
      </c>
      <c r="G10" s="8" t="s">
        <v>88</v>
      </c>
      <c r="H10" s="8" t="s">
        <v>51</v>
      </c>
      <c r="I10" s="8" t="s">
        <v>25</v>
      </c>
      <c r="J10" s="8" t="s">
        <v>12</v>
      </c>
      <c r="K10" s="8" t="s">
        <v>13</v>
      </c>
      <c r="L10" s="8" t="s">
        <v>14</v>
      </c>
      <c r="M10" s="8" t="s">
        <v>15</v>
      </c>
      <c r="N10" s="8" t="s">
        <v>17</v>
      </c>
      <c r="O10" s="8" t="s">
        <v>16</v>
      </c>
      <c r="P10" s="8" t="s">
        <v>18</v>
      </c>
      <c r="Q10" s="8" t="s">
        <v>32</v>
      </c>
      <c r="R10" s="8"/>
      <c r="S10" s="8" t="s">
        <v>19</v>
      </c>
      <c r="T10" s="8" t="s">
        <v>24</v>
      </c>
      <c r="U10" s="8" t="s">
        <v>28</v>
      </c>
      <c r="V10" s="9" t="s">
        <v>22</v>
      </c>
      <c r="W10" s="9" t="s">
        <v>20</v>
      </c>
      <c r="X10" s="9" t="s">
        <v>21</v>
      </c>
      <c r="Y10" s="9" t="s">
        <v>23</v>
      </c>
      <c r="Z10" s="8" t="s">
        <v>26</v>
      </c>
      <c r="AA10" s="8" t="s">
        <v>27</v>
      </c>
      <c r="AB10" s="8" t="s">
        <v>29</v>
      </c>
      <c r="AC10" s="9" t="s">
        <v>30</v>
      </c>
      <c r="AD10" s="8" t="s">
        <v>31</v>
      </c>
      <c r="AE10" s="9" t="s">
        <v>33</v>
      </c>
    </row>
    <row r="11" spans="1:31" ht="12">
      <c r="A11" s="5" t="s">
        <v>6</v>
      </c>
      <c r="B11" s="5">
        <v>19.41</v>
      </c>
      <c r="C11" s="5">
        <v>28.41</v>
      </c>
      <c r="D11" s="5">
        <v>11.5766</v>
      </c>
      <c r="E11" s="6">
        <f aca="true" t="shared" si="0" ref="E11:E25">IF(C11/$C$8&gt;0.008856,116*((C11/$C$8)^0.33333333)-16,903.3*C11/$C$8)</f>
        <v>60.257354649858286</v>
      </c>
      <c r="F11" s="6">
        <f>IF(B11/$B$8&gt;0.008856,(B11/$B$8)^0.33333333,7.787*(B11/$B$8)+16/116)</f>
        <v>0.5893712385304373</v>
      </c>
      <c r="G11" s="6">
        <f>IF(C11/$C$8&gt;0.008856,(C11/$C$8)^0.33333333,7.787*(C11/$C$8)+16/116)</f>
        <v>0.6573909883608473</v>
      </c>
      <c r="H11" s="6">
        <f>IF(D11/$D$8&gt;0.008856,(D11/$D$8)^0.33333333,7.787*(D11/$D$8)+16/116)</f>
        <v>0.4760527101253848</v>
      </c>
      <c r="I11" s="6"/>
      <c r="J11" s="6">
        <f>500*(F11-G11)</f>
        <v>-34.00987491520502</v>
      </c>
      <c r="K11" s="6">
        <f>200*(G11-H11)</f>
        <v>36.267655647092504</v>
      </c>
      <c r="L11" s="6">
        <f aca="true" t="shared" si="1" ref="L11:L16">(J11^2+K11^2)^0.5</f>
        <v>49.719356772629034</v>
      </c>
      <c r="M11" s="5"/>
      <c r="N11" s="5"/>
      <c r="O11" s="6">
        <f>J11*(1+$N$12)</f>
        <v>-34.067783461474896</v>
      </c>
      <c r="P11" s="6">
        <f aca="true" t="shared" si="2" ref="P11:P16">(O11^2+K11^2)^0.5</f>
        <v>49.75898628503221</v>
      </c>
      <c r="Q11" s="6"/>
      <c r="R11" s="7">
        <f aca="true" t="shared" si="3" ref="R11:R16">(ATAN2(O11,K11))*180/PI()</f>
        <v>133.20855152001522</v>
      </c>
      <c r="S11" s="7">
        <f>IF(R11&lt;0,R11+360,R11)</f>
        <v>133.20855152001522</v>
      </c>
      <c r="T11" s="7"/>
      <c r="U11" s="7"/>
      <c r="V11" s="7"/>
      <c r="W11" s="5"/>
      <c r="X11" s="5"/>
      <c r="Y11" s="5"/>
      <c r="Z11" s="5"/>
      <c r="AA11" s="5"/>
      <c r="AB11" s="5"/>
      <c r="AC11" s="5"/>
      <c r="AD11" s="5"/>
      <c r="AE11" s="6"/>
    </row>
    <row r="12" spans="1:31" ht="12">
      <c r="A12" s="5" t="s">
        <v>7</v>
      </c>
      <c r="B12" s="5">
        <v>19.5525</v>
      </c>
      <c r="C12" s="5">
        <v>28.64</v>
      </c>
      <c r="D12" s="5">
        <v>10.5791</v>
      </c>
      <c r="E12" s="6">
        <f t="shared" si="0"/>
        <v>60.46258839633526</v>
      </c>
      <c r="F12" s="6">
        <f aca="true" t="shared" si="4" ref="F12:F26">IF(B12/$B$8&gt;0.008856,(B12/$B$8)^0.33333333,7.787*(B12/$B$8)+16/116)</f>
        <v>0.5908100279247914</v>
      </c>
      <c r="G12" s="6">
        <f aca="true" t="shared" si="5" ref="G12:G26">IF(C12/$C$8&gt;0.008856,(C12/$C$8)^0.33333333,7.787*(C12/$C$8)+16/116)</f>
        <v>0.6591602447959937</v>
      </c>
      <c r="H12" s="6">
        <f aca="true" t="shared" si="6" ref="H12:H26">IF(D12/$D$8&gt;0.008856,(D12/$D$8)^0.33333333,7.787*(D12/$D$8)+16/116)</f>
        <v>0.46196698603107655</v>
      </c>
      <c r="I12" s="6">
        <f>(E12+E11)/2</f>
        <v>60.359971523096775</v>
      </c>
      <c r="J12" s="6">
        <f aca="true" t="shared" si="7" ref="J12:J26">500*(F12-G12)</f>
        <v>-34.17510843560112</v>
      </c>
      <c r="K12" s="6">
        <f aca="true" t="shared" si="8" ref="K12:K26">200*(G12-H12)</f>
        <v>39.438651752983425</v>
      </c>
      <c r="L12" s="6">
        <f t="shared" si="1"/>
        <v>52.18568087778675</v>
      </c>
      <c r="M12" s="6">
        <f>(L11+L12)/2</f>
        <v>50.95251882520789</v>
      </c>
      <c r="N12" s="5">
        <f>0.5*(1-((M12^7)/(M12^7+25^7))^0.5)</f>
        <v>0.0017026980079832832</v>
      </c>
      <c r="O12" s="6">
        <f>J12*(1+$N$12)</f>
        <v>-34.23329832465703</v>
      </c>
      <c r="P12" s="6">
        <f t="shared" si="2"/>
        <v>52.22380650889083</v>
      </c>
      <c r="Q12" s="6">
        <f>(P11+P12)/2</f>
        <v>50.99139639696152</v>
      </c>
      <c r="R12" s="7">
        <f t="shared" si="3"/>
        <v>130.95843520637857</v>
      </c>
      <c r="S12" s="7">
        <f>IF(R12&lt;0,R12+360,R12)</f>
        <v>130.95843520637857</v>
      </c>
      <c r="T12" s="7">
        <f>IF(ABS(S11-S12)&gt;180,(S11+S12+360)/2,(S11+S12)/2)</f>
        <v>132.0834933631969</v>
      </c>
      <c r="U12" s="6">
        <f>1-0.17*COS((T12-30)*PI()/180)+0.24*COS(2*T12*PI()/180)+0.32*COS((3*T12+6)*PI()/180)-0.2*COS((4*T12-63)*PI()/180)</f>
        <v>1.300953166345275</v>
      </c>
      <c r="V12" s="7">
        <f>IF(ABS(S12-S11)&gt;180,IF(S12=MIN(S12,S11),S12-S11+360,S12-S11-360),S12-S11)</f>
        <v>-2.250116313636653</v>
      </c>
      <c r="W12" s="6">
        <f>E12-E11</f>
        <v>0.20523374647697779</v>
      </c>
      <c r="X12" s="6">
        <f>P12-P11</f>
        <v>2.4648202238586236</v>
      </c>
      <c r="Y12" s="6">
        <f>2*(P12*P11)^0.5*SIN((PI()/180)*V12/2)</f>
        <v>-2.0018173586935926</v>
      </c>
      <c r="Z12" s="6">
        <f>1+(0.015*(I12-50)^2)/((20+(I12-50)^2)^0.5)</f>
        <v>1.1426739553062544</v>
      </c>
      <c r="AA12" s="6">
        <f>1+0.045*Q12</f>
        <v>3.2946128378632684</v>
      </c>
      <c r="AB12" s="6">
        <f>1+0.015*Q12*U12</f>
        <v>1.9950612789849118</v>
      </c>
      <c r="AC12" s="6">
        <f>30*EXP(-1*((T12-275)/25)^2)</f>
        <v>1.9243706895208972E-13</v>
      </c>
      <c r="AD12" s="6">
        <f>-2*(Q12^7/(Q12^7+25^7))^0.5*SIN(2*AC12*PI()/180)</f>
        <v>-1.3389133925416073E-14</v>
      </c>
      <c r="AE12" s="6">
        <f>((W12/Z12)^2+(X12/AA12)^2+(Y12/AB12)^2+AD12*(X12/AA12)*(Y12/AB12))^0.5</f>
        <v>1.2644175301711258</v>
      </c>
    </row>
    <row r="13" spans="1:31" ht="12">
      <c r="A13" s="5" t="s">
        <v>34</v>
      </c>
      <c r="B13" s="5">
        <v>22.48</v>
      </c>
      <c r="C13" s="5">
        <v>31.6</v>
      </c>
      <c r="D13" s="5">
        <v>38.48</v>
      </c>
      <c r="E13" s="6">
        <f t="shared" si="0"/>
        <v>63.01090175259861</v>
      </c>
      <c r="F13" s="6">
        <f t="shared" si="4"/>
        <v>0.6189361683027443</v>
      </c>
      <c r="G13" s="6">
        <f t="shared" si="5"/>
        <v>0.6811284633844709</v>
      </c>
      <c r="H13" s="6">
        <f t="shared" si="6"/>
        <v>0.7104601427282643</v>
      </c>
      <c r="I13" s="6"/>
      <c r="J13" s="6">
        <f t="shared" si="7"/>
        <v>-31.09614754086326</v>
      </c>
      <c r="K13" s="6">
        <f t="shared" si="8"/>
        <v>-5.8663358687586875</v>
      </c>
      <c r="L13" s="6">
        <f t="shared" si="1"/>
        <v>31.644656553804165</v>
      </c>
      <c r="M13" s="6"/>
      <c r="N13" s="5"/>
      <c r="O13" s="6">
        <f>J13*(1+$N$14)</f>
        <v>-32.619486068688055</v>
      </c>
      <c r="P13" s="6">
        <f t="shared" si="2"/>
        <v>33.14279360449898</v>
      </c>
      <c r="Q13" s="6"/>
      <c r="R13" s="7">
        <f t="shared" si="3"/>
        <v>-169.80482534138503</v>
      </c>
      <c r="S13" s="7">
        <f aca="true" t="shared" si="9" ref="S13:S30">IF(R13&lt;0,R13+360,R13)</f>
        <v>190.19517465861497</v>
      </c>
      <c r="T13" s="7"/>
      <c r="U13" s="6"/>
      <c r="V13" s="7"/>
      <c r="W13" s="6"/>
      <c r="X13" s="6"/>
      <c r="Y13" s="6"/>
      <c r="Z13" s="6"/>
      <c r="AA13" s="6"/>
      <c r="AB13" s="6"/>
      <c r="AC13" s="6"/>
      <c r="AD13" s="6"/>
      <c r="AE13" s="6"/>
    </row>
    <row r="14" spans="1:31" ht="12">
      <c r="A14" s="5" t="s">
        <v>35</v>
      </c>
      <c r="B14" s="5">
        <v>22.5833</v>
      </c>
      <c r="C14" s="5">
        <v>31.37</v>
      </c>
      <c r="D14" s="5">
        <v>36.7901</v>
      </c>
      <c r="E14" s="6">
        <f t="shared" si="0"/>
        <v>62.818741670451445</v>
      </c>
      <c r="F14" s="6">
        <f t="shared" si="4"/>
        <v>0.6198827641185984</v>
      </c>
      <c r="G14" s="6">
        <f t="shared" si="5"/>
        <v>0.6794719109521676</v>
      </c>
      <c r="H14" s="6">
        <f t="shared" si="6"/>
        <v>0.699903803781929</v>
      </c>
      <c r="I14" s="6">
        <f>(E14+E13)/2</f>
        <v>62.91482171152503</v>
      </c>
      <c r="J14" s="6">
        <f t="shared" si="7"/>
        <v>-29.794573416784598</v>
      </c>
      <c r="K14" s="6">
        <f t="shared" si="8"/>
        <v>-4.0863785659522645</v>
      </c>
      <c r="L14" s="6">
        <f t="shared" si="1"/>
        <v>30.073494889560834</v>
      </c>
      <c r="M14" s="6">
        <f>(L13+L14)/2</f>
        <v>30.8590757216825</v>
      </c>
      <c r="N14" s="5">
        <f>0.5*(1-((M14^7)/(M14^7+25^7))^0.5)</f>
        <v>0.04898801453855289</v>
      </c>
      <c r="O14" s="6">
        <f>J14*(1+$N$14)</f>
        <v>-31.25415041249602</v>
      </c>
      <c r="P14" s="6">
        <f t="shared" si="2"/>
        <v>31.5201587526332</v>
      </c>
      <c r="Q14" s="6">
        <f>(P13+P14)/2</f>
        <v>32.33147617856609</v>
      </c>
      <c r="R14" s="7">
        <f t="shared" si="3"/>
        <v>-172.55101737620805</v>
      </c>
      <c r="S14" s="7">
        <f t="shared" si="9"/>
        <v>187.44898262379195</v>
      </c>
      <c r="T14" s="7">
        <f aca="true" t="shared" si="10" ref="T14:T30">IF(ABS(S13-S14)&gt;180,(S13+S14+360)/2,(S13+S14)/2)</f>
        <v>188.82207864120346</v>
      </c>
      <c r="U14" s="6">
        <f>1-0.17*COS((T14-30)*PI()/180)+0.24*COS(2*T14*PI()/180)+0.32*COS((3*T14+6)*PI()/180)-0.2*COS((4*T14-63)*PI()/180)</f>
        <v>0.9401821910369221</v>
      </c>
      <c r="V14" s="7">
        <f>IF(ABS(S14-S13)&gt;180,IF(S14=MIN(S14,S13),S14-S13+360,S14-S13-360),S14-S13)</f>
        <v>-2.746192034823025</v>
      </c>
      <c r="W14" s="6">
        <f>E14-E13</f>
        <v>-0.1921600821471685</v>
      </c>
      <c r="X14" s="6">
        <f>P14-P13</f>
        <v>-1.622634851865783</v>
      </c>
      <c r="Y14" s="6">
        <f>2*(P14*P13)^0.5*SIN((PI()/180)*V14/2)</f>
        <v>-1.5490143935399034</v>
      </c>
      <c r="Z14" s="6">
        <f>1+(0.015*(I14-50)^2)/((20+(I14-50)^2)^0.5)</f>
        <v>1.183057797471549</v>
      </c>
      <c r="AA14" s="6">
        <f>1+0.045*Q14</f>
        <v>2.454916428035474</v>
      </c>
      <c r="AB14" s="6">
        <f>1+0.015*Q14*U14</f>
        <v>1.4559621716953348</v>
      </c>
      <c r="AC14" s="6">
        <f>30*EXP(-1*((T14-275)/25)^2)</f>
        <v>0.00020728472517057687</v>
      </c>
      <c r="AD14" s="6">
        <f>-2*(Q14^7/(Q14^7+25^7))^0.5*SIN(2*AC14*PI()/180)</f>
        <v>-1.3405742056448965E-05</v>
      </c>
      <c r="AE14" s="6">
        <f>((W14/Z14)^2+(X14/AA14)^2+(Y14/AB14)^2+AD14*(X14/AA14)*(Y14/AB14))^0.5</f>
        <v>1.2629988007017607</v>
      </c>
    </row>
    <row r="15" spans="1:31" ht="12">
      <c r="A15" s="5" t="s">
        <v>36</v>
      </c>
      <c r="B15" s="5">
        <v>28.995</v>
      </c>
      <c r="C15" s="5">
        <v>29.58</v>
      </c>
      <c r="D15" s="5">
        <v>35.75</v>
      </c>
      <c r="E15" s="6">
        <f t="shared" si="0"/>
        <v>61.29013173932084</v>
      </c>
      <c r="F15" s="6">
        <f t="shared" si="4"/>
        <v>0.6737334814623027</v>
      </c>
      <c r="G15" s="6">
        <f t="shared" si="5"/>
        <v>0.6662942391320762</v>
      </c>
      <c r="H15" s="6">
        <f t="shared" si="6"/>
        <v>0.6932449476101309</v>
      </c>
      <c r="I15" s="6"/>
      <c r="J15" s="6">
        <f t="shared" si="7"/>
        <v>3.7196211651132627</v>
      </c>
      <c r="K15" s="6">
        <f t="shared" si="8"/>
        <v>-5.390141695610939</v>
      </c>
      <c r="L15" s="6">
        <f t="shared" si="1"/>
        <v>6.548985349710451</v>
      </c>
      <c r="M15" s="6"/>
      <c r="N15" s="5"/>
      <c r="O15" s="6">
        <f>J15*(1+$N$16)</f>
        <v>5.566849970372595</v>
      </c>
      <c r="P15" s="6">
        <f t="shared" si="2"/>
        <v>7.748770618065871</v>
      </c>
      <c r="Q15" s="6"/>
      <c r="R15" s="7">
        <f t="shared" si="3"/>
        <v>-44.07604559654787</v>
      </c>
      <c r="S15" s="7">
        <f t="shared" si="9"/>
        <v>315.9239544034521</v>
      </c>
      <c r="T15" s="7"/>
      <c r="U15" s="6"/>
      <c r="V15" s="7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">
      <c r="A16" s="5" t="s">
        <v>37</v>
      </c>
      <c r="B16" s="5">
        <v>28.7704</v>
      </c>
      <c r="C16" s="5">
        <v>29.74</v>
      </c>
      <c r="D16" s="5">
        <v>35.6045</v>
      </c>
      <c r="E16" s="6">
        <f t="shared" si="0"/>
        <v>61.4292368870757</v>
      </c>
      <c r="F16" s="6">
        <f t="shared" si="4"/>
        <v>0.6719893537800463</v>
      </c>
      <c r="G16" s="6">
        <f t="shared" si="5"/>
        <v>0.6674934214403078</v>
      </c>
      <c r="H16" s="6">
        <f t="shared" si="6"/>
        <v>0.6923031826697863</v>
      </c>
      <c r="I16" s="6">
        <f>(E16+E15)/2</f>
        <v>61.35968431319827</v>
      </c>
      <c r="J16" s="6">
        <f t="shared" si="7"/>
        <v>2.2479661698692754</v>
      </c>
      <c r="K16" s="6">
        <f t="shared" si="8"/>
        <v>-4.961952245895707</v>
      </c>
      <c r="L16" s="6">
        <f t="shared" si="1"/>
        <v>5.447414248193925</v>
      </c>
      <c r="M16" s="6">
        <f>(L15+L16)/2</f>
        <v>5.998199798952188</v>
      </c>
      <c r="N16" s="5">
        <f>0.5*(1-((M16^7)/(M16^7+25^7))^0.5)</f>
        <v>0.49661745733267015</v>
      </c>
      <c r="O16" s="6">
        <f>J16*(1+$N$16)</f>
        <v>3.364345413319616</v>
      </c>
      <c r="P16" s="6">
        <f t="shared" si="2"/>
        <v>5.9949804128682675</v>
      </c>
      <c r="Q16" s="6">
        <f>(P15+P16)/2</f>
        <v>6.871875515467069</v>
      </c>
      <c r="R16" s="7">
        <f t="shared" si="3"/>
        <v>-55.861607680307806</v>
      </c>
      <c r="S16" s="7">
        <f t="shared" si="9"/>
        <v>304.1383923196922</v>
      </c>
      <c r="T16" s="7">
        <f t="shared" si="10"/>
        <v>310.03117336157214</v>
      </c>
      <c r="U16" s="6">
        <f>1-0.17*COS((T16-30)*PI()/180)+0.24*COS(2*T16*PI()/180)+0.32*COS((3*T16+6)*PI()/180)-0.2*COS((4*T16-63)*PI()/180)</f>
        <v>0.6951981217552391</v>
      </c>
      <c r="V16" s="7">
        <f>IF(ABS(S16-S15)&gt;180,IF(S16=MIN(S16,S15),S16-S15+360,S16-S15-360),S16-S15)</f>
        <v>-11.785562083759942</v>
      </c>
      <c r="W16" s="6">
        <f>E16-E15</f>
        <v>0.1391051477548615</v>
      </c>
      <c r="X16" s="6">
        <f>P16-P15</f>
        <v>-1.7537902051976033</v>
      </c>
      <c r="Y16" s="6">
        <f>2*(P16*P15)^0.5*SIN((PI()/180)*V16/2)</f>
        <v>-1.3994972114439987</v>
      </c>
      <c r="Z16" s="6">
        <f>1+(0.015*(I16-50)^2)/((20+(I16-50)^2)^0.5)</f>
        <v>1.1585509417495485</v>
      </c>
      <c r="AA16" s="6">
        <f>1+0.045*Q16</f>
        <v>1.3092343981960182</v>
      </c>
      <c r="AB16" s="6">
        <f>1+0.015*Q16*U16</f>
        <v>1.0716597242693278</v>
      </c>
      <c r="AC16" s="6">
        <f>30*EXP(-1*((T16-275)/25)^2)</f>
        <v>4.211017943701845</v>
      </c>
      <c r="AD16" s="6">
        <f>-2*(Q16^7/(Q16^7+25^7))^0.5*SIN(2*AC16*PI()/180)</f>
        <v>-0.003189386080869878</v>
      </c>
      <c r="AE16" s="6">
        <f>((W16/Z16)^2+(X16/AA16)^2+(Y16/AB16)^2+AD16*(X16/AA16)*(Y16/AB16))^0.5</f>
        <v>1.8731411378150833</v>
      </c>
    </row>
    <row r="17" spans="1:31" ht="12">
      <c r="A17" s="5" t="s">
        <v>38</v>
      </c>
      <c r="B17" s="5">
        <v>4.14</v>
      </c>
      <c r="C17" s="5">
        <v>8.54</v>
      </c>
      <c r="D17" s="5">
        <v>8.03</v>
      </c>
      <c r="E17" s="6">
        <f t="shared" si="0"/>
        <v>35.083104502494365</v>
      </c>
      <c r="F17" s="6">
        <f t="shared" si="4"/>
        <v>0.35213879667110043</v>
      </c>
      <c r="G17" s="6">
        <f t="shared" si="5"/>
        <v>0.44037159053874453</v>
      </c>
      <c r="H17" s="6">
        <f t="shared" si="6"/>
        <v>0.42140519155634604</v>
      </c>
      <c r="I17" s="6"/>
      <c r="J17" s="6">
        <f t="shared" si="7"/>
        <v>-44.11639693382205</v>
      </c>
      <c r="K17" s="6">
        <f t="shared" si="8"/>
        <v>3.7932797964796983</v>
      </c>
      <c r="L17" s="6">
        <f aca="true" t="shared" si="11" ref="L17:L26">(J17^2+K17^2)^0.5</f>
        <v>44.2791762574342</v>
      </c>
      <c r="M17" s="6"/>
      <c r="N17" s="5"/>
      <c r="O17" s="6">
        <f>J17*(1+$N$18)</f>
        <v>-44.39392935710487</v>
      </c>
      <c r="P17" s="6">
        <f aca="true" t="shared" si="12" ref="P17:P26">(O17^2+K17^2)^0.5</f>
        <v>44.55569475811143</v>
      </c>
      <c r="Q17" s="6"/>
      <c r="R17" s="7">
        <f aca="true" t="shared" si="13" ref="R17:R26">(ATAN2(O17,K17))*180/PI()</f>
        <v>175.1161724084012</v>
      </c>
      <c r="S17" s="7">
        <f t="shared" si="9"/>
        <v>175.1161724084012</v>
      </c>
      <c r="T17" s="7"/>
      <c r="U17" s="6"/>
      <c r="V17" s="7"/>
      <c r="W17" s="6"/>
      <c r="X17" s="6"/>
      <c r="Y17" s="6"/>
      <c r="Z17" s="6"/>
      <c r="AA17" s="6"/>
      <c r="AB17" s="6"/>
      <c r="AC17" s="6"/>
      <c r="AD17" s="6"/>
      <c r="AE17" s="6"/>
    </row>
    <row r="18" spans="1:31" ht="12">
      <c r="A18" s="5" t="s">
        <v>39</v>
      </c>
      <c r="B18" s="5">
        <v>4.4129</v>
      </c>
      <c r="C18" s="5">
        <v>8.51</v>
      </c>
      <c r="D18" s="5">
        <v>8.6453</v>
      </c>
      <c r="E18" s="6">
        <f t="shared" si="0"/>
        <v>35.02321804197381</v>
      </c>
      <c r="F18" s="6">
        <f t="shared" si="4"/>
        <v>0.3597121639334833</v>
      </c>
      <c r="G18" s="6">
        <f t="shared" si="5"/>
        <v>0.4398553279480501</v>
      </c>
      <c r="H18" s="6">
        <f t="shared" si="6"/>
        <v>0.4319048251138786</v>
      </c>
      <c r="I18" s="6">
        <f>(E18+E17)/2</f>
        <v>35.05316127223409</v>
      </c>
      <c r="J18" s="6">
        <f t="shared" si="7"/>
        <v>-40.07158200728339</v>
      </c>
      <c r="K18" s="6">
        <f t="shared" si="8"/>
        <v>1.590100566834296</v>
      </c>
      <c r="L18" s="6">
        <f t="shared" si="11"/>
        <v>40.103118387216284</v>
      </c>
      <c r="M18" s="6">
        <f>(L17+L18)/2</f>
        <v>42.19114732232524</v>
      </c>
      <c r="N18" s="5">
        <f>0.5*(1-((M18^7)/(M18^7+25^7))^0.5)</f>
        <v>0.006290913188108593</v>
      </c>
      <c r="O18" s="6">
        <f>J18*(1+$N$18)</f>
        <v>-40.323668851001386</v>
      </c>
      <c r="P18" s="6">
        <f t="shared" si="12"/>
        <v>40.35500823216204</v>
      </c>
      <c r="Q18" s="6">
        <f>(P17+P18)/2</f>
        <v>42.45535149513674</v>
      </c>
      <c r="R18" s="7">
        <f t="shared" si="13"/>
        <v>177.74180090942866</v>
      </c>
      <c r="S18" s="7">
        <f t="shared" si="9"/>
        <v>177.74180090942866</v>
      </c>
      <c r="T18" s="7">
        <f t="shared" si="10"/>
        <v>176.42898665891494</v>
      </c>
      <c r="U18" s="6">
        <f>1-0.17*COS((T18-30)*PI()/180)+0.24*COS(2*T18*PI()/180)+0.32*COS((3*T18+6)*PI()/180)-0.2*COS((4*T18-63)*PI()/180)</f>
        <v>1.0168404998461258</v>
      </c>
      <c r="V18" s="7">
        <f>IF(ABS(S18-S17)&gt;180,IF(S18=MIN(S18,S17),S18-S17+360,S18-S17-360),S18-S17)</f>
        <v>2.6256285010274496</v>
      </c>
      <c r="W18" s="6">
        <f>E18-E17</f>
        <v>-0.05988646052055202</v>
      </c>
      <c r="X18" s="6">
        <f>P18-P17</f>
        <v>-4.200686525949386</v>
      </c>
      <c r="Y18" s="6">
        <f>2*(P18*P17)^0.5*SIN((PI()/180)*V18/2)</f>
        <v>1.9430007761691428</v>
      </c>
      <c r="Z18" s="6">
        <f>1+(0.015*(I18-50)^2)/((20+(I18-50)^2)^0.5)</f>
        <v>1.2147941965328997</v>
      </c>
      <c r="AA18" s="6">
        <f>1+0.045*Q18</f>
        <v>2.910490817281153</v>
      </c>
      <c r="AB18" s="6">
        <f>1+0.015*Q18*U18</f>
        <v>1.647554812531867</v>
      </c>
      <c r="AC18" s="6">
        <f>30*EXP(-1*((T18-275)/25)^2)</f>
        <v>5.315975147939041E-06</v>
      </c>
      <c r="AD18" s="6">
        <f>-2*(Q18^7/(Q18^7+25^7))^0.5*SIN(2*AC18*PI()/180)</f>
        <v>-3.6665170115747295E-07</v>
      </c>
      <c r="AE18" s="6">
        <f>((W18/Z18)^2+(X18/AA18)^2+(Y18/AB18)^2+AD18*(X18/AA18)*(Y18/AB18))^0.5</f>
        <v>1.8644908090690513</v>
      </c>
    </row>
    <row r="19" spans="1:31" ht="12">
      <c r="A19" s="5" t="s">
        <v>40</v>
      </c>
      <c r="B19" s="5">
        <v>4.96</v>
      </c>
      <c r="C19" s="5">
        <v>3.72</v>
      </c>
      <c r="D19" s="5">
        <v>19.59</v>
      </c>
      <c r="E19" s="6">
        <f t="shared" si="0"/>
        <v>22.723295229059012</v>
      </c>
      <c r="F19" s="6">
        <f t="shared" si="4"/>
        <v>0.37400234108022307</v>
      </c>
      <c r="G19" s="6">
        <f t="shared" si="5"/>
        <v>0.3338215105953363</v>
      </c>
      <c r="H19" s="6">
        <f t="shared" si="6"/>
        <v>0.5672913705461282</v>
      </c>
      <c r="I19" s="6"/>
      <c r="J19" s="6">
        <f t="shared" si="7"/>
        <v>20.09041524244337</v>
      </c>
      <c r="K19" s="6">
        <f t="shared" si="8"/>
        <v>-46.69397199015838</v>
      </c>
      <c r="L19" s="6">
        <f t="shared" si="11"/>
        <v>50.832586052959144</v>
      </c>
      <c r="M19" s="6"/>
      <c r="N19" s="5"/>
      <c r="O19" s="6">
        <f>J19*(1+$N$20)</f>
        <v>20.142412115115512</v>
      </c>
      <c r="P19" s="6">
        <f t="shared" si="12"/>
        <v>50.85315905657039</v>
      </c>
      <c r="Q19" s="6"/>
      <c r="R19" s="7">
        <f t="shared" si="13"/>
        <v>-66.66604728625526</v>
      </c>
      <c r="S19" s="7">
        <f t="shared" si="9"/>
        <v>293.33395271374474</v>
      </c>
      <c r="T19" s="7"/>
      <c r="U19" s="6"/>
      <c r="V19" s="7"/>
      <c r="W19" s="6"/>
      <c r="X19" s="6"/>
      <c r="Y19" s="6"/>
      <c r="Z19" s="6"/>
      <c r="AA19" s="6"/>
      <c r="AB19" s="6"/>
      <c r="AC19" s="6"/>
      <c r="AD19" s="6"/>
      <c r="AE19" s="6"/>
    </row>
    <row r="20" spans="1:31" ht="12">
      <c r="A20" s="5" t="s">
        <v>41</v>
      </c>
      <c r="B20" s="5">
        <v>4.6651</v>
      </c>
      <c r="C20" s="5">
        <v>3.81</v>
      </c>
      <c r="D20" s="5">
        <v>17.7848</v>
      </c>
      <c r="E20" s="6">
        <f t="shared" si="0"/>
        <v>23.033094753720142</v>
      </c>
      <c r="F20" s="6">
        <f t="shared" si="4"/>
        <v>0.3664382056252854</v>
      </c>
      <c r="G20" s="6">
        <f t="shared" si="5"/>
        <v>0.3364921961527598</v>
      </c>
      <c r="H20" s="6">
        <f t="shared" si="6"/>
        <v>0.5493018065004847</v>
      </c>
      <c r="I20" s="6">
        <f>(E20+E19)/2</f>
        <v>22.878194991389577</v>
      </c>
      <c r="J20" s="6">
        <f t="shared" si="7"/>
        <v>14.973004736262785</v>
      </c>
      <c r="K20" s="6">
        <f t="shared" si="8"/>
        <v>-42.56192206954496</v>
      </c>
      <c r="L20" s="6">
        <f t="shared" si="11"/>
        <v>45.118821805164266</v>
      </c>
      <c r="M20" s="6">
        <f>(L19+L20)/2</f>
        <v>47.97570392906171</v>
      </c>
      <c r="N20" s="5">
        <f>0.5*(1-((M20^7)/(M20^7+25^7))^0.5)</f>
        <v>0.002588143253619335</v>
      </c>
      <c r="O20" s="6">
        <f>J20*(1+$N$20)</f>
        <v>15.011757017457356</v>
      </c>
      <c r="P20" s="6">
        <f t="shared" si="12"/>
        <v>45.13169683277152</v>
      </c>
      <c r="Q20" s="6">
        <f>(P19+P20)/2</f>
        <v>47.99242794467095</v>
      </c>
      <c r="R20" s="7">
        <f t="shared" si="13"/>
        <v>-70.57205377985203</v>
      </c>
      <c r="S20" s="7">
        <f t="shared" si="9"/>
        <v>289.427946220148</v>
      </c>
      <c r="T20" s="7">
        <f t="shared" si="10"/>
        <v>291.3809494669464</v>
      </c>
      <c r="U20" s="6">
        <f>1-0.17*COS((T20-30)*PI()/180)+0.24*COS(2*T20*PI()/180)+0.32*COS((3*T20+6)*PI()/180)-0.2*COS((4*T20-63)*PI()/180)</f>
        <v>0.3635556560303493</v>
      </c>
      <c r="V20" s="7">
        <f>IF(ABS(S20-S19)&gt;180,IF(S20=MIN(S20,S19),S20-S19+360,S20-S19-360),S20-S19)</f>
        <v>-3.906006493596749</v>
      </c>
      <c r="W20" s="6">
        <f>E20-E19</f>
        <v>0.3097995246611305</v>
      </c>
      <c r="X20" s="6">
        <f>P20-P19</f>
        <v>-5.7214622237988735</v>
      </c>
      <c r="Y20" s="6">
        <f>2*(P20*P19)^0.5*SIN((PI()/180)*V20/2)</f>
        <v>-3.2653220820019007</v>
      </c>
      <c r="Z20" s="6">
        <f>1+(0.015*(I20-50)^2)/((20+(I20-50)^2)^0.5)</f>
        <v>1.401406752448712</v>
      </c>
      <c r="AA20" s="6">
        <f>1+0.045*Q20</f>
        <v>3.1596592575101927</v>
      </c>
      <c r="AB20" s="6">
        <f>1+0.015*Q20*U20</f>
        <v>1.2617187793887117</v>
      </c>
      <c r="AC20" s="6">
        <f>30*EXP(-1*((T20-275)/25)^2)</f>
        <v>19.52821949340815</v>
      </c>
      <c r="AD20" s="6">
        <f>-2*(Q20^7/(Q20^7+25^7))^0.5*SIN(2*AC20*PI()/180)</f>
        <v>-1.2536639852629656</v>
      </c>
      <c r="AE20" s="6">
        <f>((W20/Z20)^2+(X20/AA20)^2+(Y20/AB20)^2+AD20*(X20/AA20)*(Y20/AB20))^0.5</f>
        <v>2.037272924112019</v>
      </c>
    </row>
    <row r="21" spans="1:31" ht="12">
      <c r="A21" s="5" t="s">
        <v>42</v>
      </c>
      <c r="B21" s="5">
        <v>15.6</v>
      </c>
      <c r="C21" s="5">
        <v>9.25</v>
      </c>
      <c r="D21" s="5">
        <v>5.02</v>
      </c>
      <c r="E21" s="6">
        <f t="shared" si="0"/>
        <v>36.46124225604771</v>
      </c>
      <c r="F21" s="6">
        <f t="shared" si="4"/>
        <v>0.5479681205010832</v>
      </c>
      <c r="G21" s="6">
        <f t="shared" si="5"/>
        <v>0.4522520884142044</v>
      </c>
      <c r="H21" s="6">
        <f t="shared" si="6"/>
        <v>0.36032628128976707</v>
      </c>
      <c r="I21" s="6"/>
      <c r="J21" s="6">
        <f t="shared" si="7"/>
        <v>47.85801604343942</v>
      </c>
      <c r="K21" s="6">
        <f t="shared" si="8"/>
        <v>18.385161424887464</v>
      </c>
      <c r="L21" s="6">
        <f t="shared" si="11"/>
        <v>51.26796134266775</v>
      </c>
      <c r="M21" s="6"/>
      <c r="N21" s="5"/>
      <c r="O21" s="6">
        <f>J21*(1+$N$22)</f>
        <v>47.91972669819551</v>
      </c>
      <c r="P21" s="6">
        <f t="shared" si="12"/>
        <v>51.32557225641933</v>
      </c>
      <c r="Q21" s="6"/>
      <c r="R21" s="7">
        <f t="shared" si="13"/>
        <v>20.99010119095698</v>
      </c>
      <c r="S21" s="7">
        <f t="shared" si="9"/>
        <v>20.99010119095698</v>
      </c>
      <c r="T21" s="7"/>
      <c r="U21" s="6"/>
      <c r="V21" s="7"/>
      <c r="W21" s="6"/>
      <c r="X21" s="6"/>
      <c r="Y21" s="6"/>
      <c r="Z21" s="6"/>
      <c r="AA21" s="6"/>
      <c r="AB21" s="6"/>
      <c r="AC21" s="6"/>
      <c r="AD21" s="6"/>
      <c r="AE21" s="6"/>
    </row>
    <row r="22" spans="1:31" ht="12">
      <c r="A22" s="5" t="s">
        <v>43</v>
      </c>
      <c r="B22" s="5">
        <v>15.9148</v>
      </c>
      <c r="C22" s="5">
        <v>9.15</v>
      </c>
      <c r="D22" s="5">
        <v>4.3872</v>
      </c>
      <c r="E22" s="6">
        <f t="shared" si="0"/>
        <v>36.271507355386746</v>
      </c>
      <c r="F22" s="6">
        <f t="shared" si="4"/>
        <v>0.5516295067271699</v>
      </c>
      <c r="G22" s="6">
        <f t="shared" si="5"/>
        <v>0.45061644271885126</v>
      </c>
      <c r="H22" s="6">
        <f t="shared" si="6"/>
        <v>0.3445010197606776</v>
      </c>
      <c r="I22" s="6">
        <f>(E22+E21)/2</f>
        <v>36.36637480571723</v>
      </c>
      <c r="J22" s="6">
        <f t="shared" si="7"/>
        <v>50.50653200415933</v>
      </c>
      <c r="K22" s="6">
        <f t="shared" si="8"/>
        <v>21.223084591634734</v>
      </c>
      <c r="L22" s="6">
        <f t="shared" si="11"/>
        <v>54.784387325869176</v>
      </c>
      <c r="M22" s="6">
        <f>(L21+L22)/2</f>
        <v>53.02617433426846</v>
      </c>
      <c r="N22" s="5">
        <f>0.5*(1-((M22^7)/(M22^7+25^7))^0.5)</f>
        <v>0.0012894528410890005</v>
      </c>
      <c r="O22" s="6">
        <f>J22*(1+$N$22)</f>
        <v>50.571657795345644</v>
      </c>
      <c r="P22" s="6">
        <f t="shared" si="12"/>
        <v>54.844433553034605</v>
      </c>
      <c r="Q22" s="6">
        <f>(P21+P22)/2</f>
        <v>53.08500290472696</v>
      </c>
      <c r="R22" s="7">
        <f t="shared" si="13"/>
        <v>22.766020225084134</v>
      </c>
      <c r="S22" s="7">
        <f t="shared" si="9"/>
        <v>22.766020225084134</v>
      </c>
      <c r="T22" s="7">
        <f t="shared" si="10"/>
        <v>21.878060708020556</v>
      </c>
      <c r="U22" s="6">
        <f>1-0.17*COS((T22-30)*PI()/180)+0.24*COS(2*T22*PI()/180)+0.32*COS((3*T22+6)*PI()/180)-0.2*COS((4*T22-63)*PI()/180)</f>
        <v>0.9239067781249392</v>
      </c>
      <c r="V22" s="7">
        <f>IF(ABS(S22-S21)&gt;180,IF(S22=MIN(S22,S21),S22-S21+360,S22-S21-360),S22-S21)</f>
        <v>1.7759190341271527</v>
      </c>
      <c r="W22" s="6">
        <f>E22-E21</f>
        <v>-0.18973490066096588</v>
      </c>
      <c r="X22" s="6">
        <f>P22-P21</f>
        <v>3.5188612966152775</v>
      </c>
      <c r="Y22" s="6">
        <f>2*(P22*P21)^0.5*SIN((PI()/180)*V22/2)</f>
        <v>1.6444335254353888</v>
      </c>
      <c r="Z22" s="6">
        <f>1+(0.015*(I22-50)^2)/((20+(I22-50)^2)^0.5)</f>
        <v>1.1943172598956104</v>
      </c>
      <c r="AA22" s="6">
        <f>1+0.045*Q22</f>
        <v>3.3888251307127133</v>
      </c>
      <c r="AB22" s="6">
        <f>1+0.015*Q22*U22</f>
        <v>1.7356839100068897</v>
      </c>
      <c r="AC22" s="6">
        <f>30*EXP(-1*((T22-275)/25)^2)</f>
        <v>9.041233660005499E-44</v>
      </c>
      <c r="AD22" s="6">
        <f>-2*(Q22^7/(Q22^7+25^7))^0.5*SIN(2*AC22*PI()/180)</f>
        <v>-6.295819224928862E-45</v>
      </c>
      <c r="AE22" s="6">
        <f>((W22/Z22)^2+(X22/AA22)^2+(Y22/AB22)^2+AD22*(X22/AA22)*(Y22/AB22))^0.5</f>
        <v>1.4145925701982272</v>
      </c>
    </row>
    <row r="23" spans="1:31" ht="12">
      <c r="A23" s="5" t="s">
        <v>44</v>
      </c>
      <c r="B23" s="5">
        <v>73</v>
      </c>
      <c r="C23" s="5">
        <v>78.05</v>
      </c>
      <c r="D23" s="5">
        <v>81.8</v>
      </c>
      <c r="E23" s="6">
        <f t="shared" si="0"/>
        <v>90.80271479055179</v>
      </c>
      <c r="F23" s="6">
        <f t="shared" si="4"/>
        <v>0.9165469390116571</v>
      </c>
      <c r="G23" s="6">
        <f t="shared" si="5"/>
        <v>0.9207130585392396</v>
      </c>
      <c r="H23" s="6">
        <f t="shared" si="6"/>
        <v>0.9135082301285496</v>
      </c>
      <c r="I23" s="6"/>
      <c r="J23" s="6">
        <f t="shared" si="7"/>
        <v>-2.0830597637912507</v>
      </c>
      <c r="K23" s="6">
        <f t="shared" si="8"/>
        <v>1.4409656821379846</v>
      </c>
      <c r="L23" s="6">
        <f t="shared" si="11"/>
        <v>2.5328876952256385</v>
      </c>
      <c r="M23" s="6"/>
      <c r="N23" s="5"/>
      <c r="O23" s="6">
        <f>J23*(1+$N$24)</f>
        <v>-3.1244141334397164</v>
      </c>
      <c r="P23" s="6">
        <f t="shared" si="12"/>
        <v>3.440689723636417</v>
      </c>
      <c r="Q23" s="6"/>
      <c r="R23" s="7">
        <f t="shared" si="13"/>
        <v>155.24106187020251</v>
      </c>
      <c r="S23" s="7">
        <f t="shared" si="9"/>
        <v>155.24106187020251</v>
      </c>
      <c r="T23" s="7"/>
      <c r="U23" s="6"/>
      <c r="V23" s="7"/>
      <c r="W23" s="6"/>
      <c r="X23" s="6"/>
      <c r="Y23" s="6"/>
      <c r="Z23" s="6"/>
      <c r="AA23" s="6"/>
      <c r="AB23" s="6"/>
      <c r="AC23" s="6"/>
      <c r="AD23" s="6"/>
      <c r="AE23" s="6"/>
    </row>
    <row r="24" spans="1:31" ht="12">
      <c r="A24" s="5" t="s">
        <v>45</v>
      </c>
      <c r="B24" s="5">
        <v>73.9351</v>
      </c>
      <c r="C24" s="5">
        <v>78.82</v>
      </c>
      <c r="D24" s="5">
        <v>84.5156</v>
      </c>
      <c r="E24" s="6">
        <f t="shared" si="0"/>
        <v>91.15278578331485</v>
      </c>
      <c r="F24" s="6">
        <f t="shared" si="4"/>
        <v>0.9204438765226339</v>
      </c>
      <c r="G24" s="6">
        <f t="shared" si="5"/>
        <v>0.923730911925128</v>
      </c>
      <c r="H24" s="6">
        <f t="shared" si="6"/>
        <v>0.9235072789092975</v>
      </c>
      <c r="I24" s="6">
        <f>(E24+E23)/2</f>
        <v>90.97775028693331</v>
      </c>
      <c r="J24" s="6">
        <f t="shared" si="7"/>
        <v>-1.6435177012470437</v>
      </c>
      <c r="K24" s="6">
        <f t="shared" si="8"/>
        <v>0.04472660316610089</v>
      </c>
      <c r="L24" s="6">
        <f t="shared" si="11"/>
        <v>1.6441261823057087</v>
      </c>
      <c r="M24" s="6">
        <f>(L23+L24)/2</f>
        <v>2.088506938765674</v>
      </c>
      <c r="N24" s="5">
        <f>0.5*(1-((M24^7)/(M24^7+25^7))^0.5)</f>
        <v>0.4999157430572994</v>
      </c>
      <c r="O24" s="6">
        <f>J24*(1+$N$24)</f>
        <v>-2.465138074093784</v>
      </c>
      <c r="P24" s="6">
        <f t="shared" si="12"/>
        <v>2.4655437926302564</v>
      </c>
      <c r="Q24" s="6">
        <f>(P23+P24)/2</f>
        <v>2.9531167581333366</v>
      </c>
      <c r="R24" s="7">
        <f t="shared" si="13"/>
        <v>178.96055946115902</v>
      </c>
      <c r="S24" s="7">
        <f t="shared" si="9"/>
        <v>178.96055946115902</v>
      </c>
      <c r="T24" s="7">
        <f t="shared" si="10"/>
        <v>167.10081066568077</v>
      </c>
      <c r="U24" s="6">
        <f>1-0.17*COS((T24-30)*PI()/180)+0.24*COS(2*T24*PI()/180)+0.32*COS((3*T24+6)*PI()/180)-0.2*COS((4*T24-63)*PI()/180)</f>
        <v>1.1545684696758933</v>
      </c>
      <c r="V24" s="7">
        <f>IF(ABS(S24-S23)&gt;180,IF(S24=MIN(S24,S23),S24-S23+360,S24-S23-360),S24-S23)</f>
        <v>23.719497590956507</v>
      </c>
      <c r="W24" s="6">
        <f>E24-E23</f>
        <v>0.3500709927630652</v>
      </c>
      <c r="X24" s="6">
        <f>P24-P23</f>
        <v>-0.9751459310061605</v>
      </c>
      <c r="Y24" s="6">
        <f>2*(P24*P23)^0.5*SIN((PI()/180)*V24/2)</f>
        <v>1.1971712080220966</v>
      </c>
      <c r="Z24" s="6">
        <f>1+(0.015*(I24-50)^2)/((20+(I24-50)^2)^0.5)</f>
        <v>1.6110381093101676</v>
      </c>
      <c r="AA24" s="6">
        <f>1+0.045*Q24</f>
        <v>1.1328902541160002</v>
      </c>
      <c r="AB24" s="6">
        <f>1+0.015*Q24*U24</f>
        <v>1.0511436324431835</v>
      </c>
      <c r="AC24" s="6">
        <f>30*EXP(-1*((T24-275)/25)^2)</f>
        <v>2.439314209733436E-07</v>
      </c>
      <c r="AD24" s="6">
        <f>-2*(Q24^7/(Q24^7+25^7))^0.5*SIN(2*AC24*PI()/180)</f>
        <v>-9.647108610204035E-12</v>
      </c>
      <c r="AE24" s="6">
        <f>((W24/Z24)^2+(X24/AA24)^2+(Y24/AB24)^2+AD24*(X24/AA24)*(Y24/AB24))^0.5</f>
        <v>1.444045914432226</v>
      </c>
    </row>
    <row r="25" spans="1:31" ht="12">
      <c r="A25" s="5" t="s">
        <v>46</v>
      </c>
      <c r="B25" s="5">
        <v>73.995</v>
      </c>
      <c r="C25" s="5">
        <v>78.32</v>
      </c>
      <c r="D25" s="5">
        <v>85.306</v>
      </c>
      <c r="E25" s="6">
        <f t="shared" si="0"/>
        <v>90.92572800697265</v>
      </c>
      <c r="F25" s="6">
        <f t="shared" si="4"/>
        <v>0.9206923814271036</v>
      </c>
      <c r="G25" s="6">
        <f t="shared" si="5"/>
        <v>0.9217735173014884</v>
      </c>
      <c r="H25" s="6">
        <f t="shared" si="6"/>
        <v>0.926377267406473</v>
      </c>
      <c r="I25" s="6"/>
      <c r="J25" s="6">
        <f t="shared" si="7"/>
        <v>-0.5405679371923711</v>
      </c>
      <c r="K25" s="6">
        <f t="shared" si="8"/>
        <v>-0.9207500209969188</v>
      </c>
      <c r="L25" s="6">
        <f t="shared" si="11"/>
        <v>1.067705154003783</v>
      </c>
      <c r="M25" s="6"/>
      <c r="N25" s="5"/>
      <c r="O25" s="6">
        <f>J25*(1+$N$26)</f>
        <v>-0.8108469088792953</v>
      </c>
      <c r="P25" s="6">
        <f t="shared" si="12"/>
        <v>1.2268876520712624</v>
      </c>
      <c r="Q25" s="6"/>
      <c r="R25" s="7">
        <f t="shared" si="13"/>
        <v>-131.368352657688</v>
      </c>
      <c r="S25" s="7">
        <f t="shared" si="9"/>
        <v>228.631647342312</v>
      </c>
      <c r="T25" s="7"/>
      <c r="U25" s="6"/>
      <c r="V25" s="7"/>
      <c r="W25" s="6"/>
      <c r="X25" s="6"/>
      <c r="Y25" s="6"/>
      <c r="Z25" s="6"/>
      <c r="AA25" s="6"/>
      <c r="AB25" s="6"/>
      <c r="AC25" s="6"/>
      <c r="AD25" s="6"/>
      <c r="AE25" s="6"/>
    </row>
    <row r="26" spans="1:31" ht="12">
      <c r="A26" s="5" t="s">
        <v>47</v>
      </c>
      <c r="B26" s="5">
        <v>69.1762</v>
      </c>
      <c r="C26" s="5">
        <v>73.4</v>
      </c>
      <c r="D26" s="5">
        <v>79.713</v>
      </c>
      <c r="E26" s="6">
        <f>IF(C26/$C$8&gt;0.008856,116*((C26/$C$8)^0.33333333)-16,903.3*C26/$C$8)</f>
        <v>88.63813961909229</v>
      </c>
      <c r="F26" s="6">
        <f t="shared" si="4"/>
        <v>0.9002559323840581</v>
      </c>
      <c r="G26" s="6">
        <f t="shared" si="5"/>
        <v>0.9020529277507956</v>
      </c>
      <c r="H26" s="6">
        <f t="shared" si="6"/>
        <v>0.9056722921444575</v>
      </c>
      <c r="I26" s="6">
        <f>(E26+E25)/2</f>
        <v>89.78193381303247</v>
      </c>
      <c r="J26" s="6">
        <f t="shared" si="7"/>
        <v>-0.8984976833687486</v>
      </c>
      <c r="K26" s="6">
        <f t="shared" si="8"/>
        <v>-0.72387287873239</v>
      </c>
      <c r="L26" s="6">
        <f t="shared" si="11"/>
        <v>1.1538154235332987</v>
      </c>
      <c r="M26" s="6">
        <f>(L25+L26)/2</f>
        <v>1.1107602887685408</v>
      </c>
      <c r="N26" s="5">
        <f>0.5*(1-((M26^7)/(M26^7+25^7))^0.5)</f>
        <v>0.49999075618637834</v>
      </c>
      <c r="O26" s="6">
        <f>J26*(1+$N$26)</f>
        <v>-1.3477382195079983</v>
      </c>
      <c r="P26" s="6">
        <f t="shared" si="12"/>
        <v>1.5298334069064208</v>
      </c>
      <c r="Q26" s="6">
        <f>(P25+P26)/2</f>
        <v>1.3783605294888415</v>
      </c>
      <c r="R26" s="7">
        <f t="shared" si="13"/>
        <v>-151.75966610143735</v>
      </c>
      <c r="S26" s="7">
        <f t="shared" si="9"/>
        <v>208.24033389856265</v>
      </c>
      <c r="T26" s="7">
        <f t="shared" si="10"/>
        <v>218.43599062043734</v>
      </c>
      <c r="U26" s="6">
        <f>1-0.17*COS((T26-30)*PI()/180)+0.24*COS(2*T26*PI()/180)+0.32*COS((3*T26+6)*PI()/180)-0.2*COS((4*T26-63)*PI()/180)</f>
        <v>1.3915522849198798</v>
      </c>
      <c r="V26" s="7">
        <f>IF(ABS(S26-S25)&gt;180,IF(S26=MIN(S26,S25),S26-S25+360,S26-S25-360),S26-S25)</f>
        <v>-20.39131344374934</v>
      </c>
      <c r="W26" s="6">
        <f>E26-E25</f>
        <v>-2.287588387880362</v>
      </c>
      <c r="X26" s="6">
        <f>P26-P25</f>
        <v>0.3029457548351584</v>
      </c>
      <c r="Y26" s="6">
        <f>2*(P26*P25)^0.5*SIN((PI()/180)*V26/2)</f>
        <v>-0.4850121217064674</v>
      </c>
      <c r="Z26" s="6">
        <f>1+(0.015*(I26-50)^2)/((20+(I26-50)^2)^0.5)</f>
        <v>1.59299381673963</v>
      </c>
      <c r="AA26" s="6">
        <f>1+0.045*Q26</f>
        <v>1.062026223826998</v>
      </c>
      <c r="AB26" s="6">
        <f>1+0.015*Q26*U26</f>
        <v>1.0287709111638035</v>
      </c>
      <c r="AC26" s="6">
        <f>30*EXP(-1*((T26-275)/25)^2)</f>
        <v>0.17942785574782355</v>
      </c>
      <c r="AD26" s="6">
        <f>-2*(Q26^7/(Q26^7+25^7))^0.5*SIN(2*AC26*PI()/180)</f>
        <v>-4.92951570704516E-07</v>
      </c>
      <c r="AE26" s="6">
        <f>((W26/Z26)^2+(X26/AA26)^2+(Y26/AB26)^2+AD26*(X26/AA26)*(Y26/AB26))^0.5</f>
        <v>1.5381213483373726</v>
      </c>
    </row>
    <row r="27" spans="1:31" ht="12">
      <c r="A27" s="5" t="s">
        <v>48</v>
      </c>
      <c r="B27" s="5">
        <v>0.704</v>
      </c>
      <c r="C27" s="5">
        <v>0.75</v>
      </c>
      <c r="D27" s="5">
        <v>0.972</v>
      </c>
      <c r="E27" s="6">
        <f>IF(C27/$C$8&gt;0.008856,116*((C27/$C$8)^0.33333333)-16,903.3*C27/$C$8)</f>
        <v>6.774749999999999</v>
      </c>
      <c r="F27" s="6">
        <f>IF(B27/$B$8&gt;0.008856,(B27/$B$8)^0.33333333,7.787*(B27/$B$8)+16/116)</f>
        <v>0.19575183586656428</v>
      </c>
      <c r="G27" s="6">
        <f>IF(C27/$C$8&gt;0.008856,(C27/$C$8)^0.33333333,7.787*(C27/$C$8)+16/116)</f>
        <v>0.19633353448275861</v>
      </c>
      <c r="H27" s="6">
        <f>IF(D27/$D$8&gt;0.008856,(D27/$D$8)^0.33333333,7.787*(D27/$D$8)+16/116)</f>
        <v>0.2084571477955842</v>
      </c>
      <c r="I27" s="6"/>
      <c r="J27" s="6">
        <f>500*(F27-G27)</f>
        <v>-0.2908493080971686</v>
      </c>
      <c r="K27" s="6">
        <f>200*(G27-H27)</f>
        <v>-2.4247226625651153</v>
      </c>
      <c r="L27" s="6">
        <f>(J27^2+K27^2)^0.5</f>
        <v>2.4421042791775833</v>
      </c>
      <c r="M27" s="6"/>
      <c r="N27" s="5"/>
      <c r="O27" s="6">
        <f>J27*(1+$N$28)</f>
        <v>-0.43623767208508507</v>
      </c>
      <c r="P27" s="6">
        <f>(O27^2+K27^2)^0.5</f>
        <v>2.4636524302147564</v>
      </c>
      <c r="Q27" s="6"/>
      <c r="R27" s="7">
        <f>(ATAN2(O27,K27))*180/PI()</f>
        <v>-100.199112019192</v>
      </c>
      <c r="S27" s="7">
        <f t="shared" si="9"/>
        <v>259.800887980808</v>
      </c>
      <c r="T27" s="7"/>
      <c r="U27" s="6"/>
      <c r="V27" s="7"/>
      <c r="W27" s="6"/>
      <c r="X27" s="6"/>
      <c r="Y27" s="6"/>
      <c r="Z27" s="6"/>
      <c r="AA27" s="6"/>
      <c r="AB27" s="6"/>
      <c r="AC27" s="6"/>
      <c r="AD27" s="6"/>
      <c r="AE27" s="6"/>
    </row>
    <row r="28" spans="1:31" ht="12">
      <c r="A28" s="5" t="s">
        <v>49</v>
      </c>
      <c r="B28" s="5">
        <v>0.613873</v>
      </c>
      <c r="C28" s="5">
        <v>0.65</v>
      </c>
      <c r="D28" s="5">
        <v>0.851025</v>
      </c>
      <c r="E28" s="6">
        <f>IF(C28/$C$8&gt;0.008856,116*((C28/$C$8)^0.33333333)-16,903.3*C28/$C$8)</f>
        <v>5.871449999999999</v>
      </c>
      <c r="F28" s="6">
        <f>IF(B28/$B$8&gt;0.008856,(B28/$B$8)^0.33333333,7.787*(B28/$B$8)+16/116)</f>
        <v>0.18834954131213494</v>
      </c>
      <c r="G28" s="6">
        <f>IF(C28/$C$8&gt;0.008856,(C28/$C$8)^0.33333333,7.787*(C28/$C$8)+16/116)</f>
        <v>0.18854653448275863</v>
      </c>
      <c r="H28" s="6">
        <f>IF(D28/$D$8&gt;0.008856,(D28/$D$8)^0.33333333,7.787*(D28/$D$8)+16/116)</f>
        <v>0.19968951203252377</v>
      </c>
      <c r="I28" s="6">
        <f>(E28+E27)/2</f>
        <v>6.323099999999999</v>
      </c>
      <c r="J28" s="6">
        <f>500*(F28-G28)</f>
        <v>-0.09849658531184413</v>
      </c>
      <c r="K28" s="6">
        <f>200*(G28-H28)</f>
        <v>-2.2285955099530295</v>
      </c>
      <c r="L28" s="6">
        <f>(J28^2+K28^2)^0.5</f>
        <v>2.2307710604857904</v>
      </c>
      <c r="M28" s="6">
        <f>(L27+L28)/2</f>
        <v>2.336437669831687</v>
      </c>
      <c r="N28" s="5">
        <f>0.5*(1-((M28^7)/(M28^7+25^7))^0.5)</f>
        <v>0.49987522727523337</v>
      </c>
      <c r="O28" s="6">
        <f>J28*(1+$N$28)</f>
        <v>-0.14773258828043662</v>
      </c>
      <c r="P28" s="6">
        <f>(O28^2+K28^2)^0.5</f>
        <v>2.23348670571885</v>
      </c>
      <c r="Q28" s="6">
        <f>(P27+P28)/2</f>
        <v>2.3485695679668033</v>
      </c>
      <c r="R28" s="7">
        <f>(ATAN2(O28,K28))*180/PI()</f>
        <v>-93.79256257725501</v>
      </c>
      <c r="S28" s="7">
        <f t="shared" si="9"/>
        <v>266.207437422745</v>
      </c>
      <c r="T28" s="7">
        <f t="shared" si="10"/>
        <v>263.0041627017765</v>
      </c>
      <c r="U28" s="6">
        <f>1-0.17*COS((T28-30)*PI()/180)+0.24*COS(2*T28*PI()/180)+0.32*COS((3*T28+6)*PI()/180)-0.2*COS((4*T28-63)*PI()/180)</f>
        <v>0.9556063712540569</v>
      </c>
      <c r="V28" s="7">
        <f>IF(ABS(S28-S27)&gt;180,IF(S28=MIN(S28,S27),S28-S27+360,S28-S27-360),S28-S27)</f>
        <v>6.406549441936988</v>
      </c>
      <c r="W28" s="6">
        <f>E28-E27</f>
        <v>-0.9032999999999998</v>
      </c>
      <c r="X28" s="6">
        <f>P28-P27</f>
        <v>-0.23016572449590633</v>
      </c>
      <c r="Y28" s="6">
        <f>2*(P28*P27)^0.5*SIN((PI()/180)*V28/2)</f>
        <v>0.26215412001364075</v>
      </c>
      <c r="Z28" s="6">
        <f>1+(0.015*(I28-50)^2)/((20+(I28-50)^2)^0.5)</f>
        <v>1.6517459604883369</v>
      </c>
      <c r="AA28" s="6">
        <f>1+0.045*Q28</f>
        <v>1.105685630558506</v>
      </c>
      <c r="AB28" s="6">
        <f>1+0.015*Q28*U28</f>
        <v>1.033664620637237</v>
      </c>
      <c r="AC28" s="6">
        <f>30*EXP(-1*((T28-275)/25)^2)</f>
        <v>23.830283830687428</v>
      </c>
      <c r="AD28" s="6">
        <f>-2*(Q28^7/(Q28^7+25^7))^0.5*SIN(2*AC28*PI()/180)</f>
        <v>-0.00037566000118564955</v>
      </c>
      <c r="AE28" s="6">
        <f>((W28/Z28)^2+(X28/AA28)^2+(Y28/AB28)^2+AD28*(X28/AA28)*(Y28/AB28))^0.5</f>
        <v>0.6377673206807536</v>
      </c>
    </row>
    <row r="29" spans="1:31" ht="12">
      <c r="A29" s="5" t="s">
        <v>52</v>
      </c>
      <c r="B29" s="5">
        <v>0.22</v>
      </c>
      <c r="C29" s="5">
        <v>0.23</v>
      </c>
      <c r="D29" s="5">
        <v>0.325</v>
      </c>
      <c r="E29" s="6">
        <f>IF(C29/$C$8&gt;0.008856,116*((C29/$C$8)^0.33333333)-16,903.3*C29/$C$8)</f>
        <v>2.07759</v>
      </c>
      <c r="F29" s="6">
        <f>IF(B29/$B$8&gt;0.008856,(B29/$B$8)^0.33333333,7.787*(B29/$B$8)+16/116)</f>
        <v>0.1560000349151979</v>
      </c>
      <c r="G29" s="6">
        <f>IF(C29/$C$8&gt;0.008856,(C29/$C$8)^0.33333333,7.787*(C29/$C$8)+16/116)</f>
        <v>0.1558411344827586</v>
      </c>
      <c r="H29" s="6">
        <f>IF(D29/$D$8&gt;0.008856,(D29/$D$8)^0.33333333,7.787*(D29/$D$8)+16/116)</f>
        <v>0.16151612916702016</v>
      </c>
      <c r="I29" s="6"/>
      <c r="J29" s="6">
        <f>500*(F29-G29)</f>
        <v>0.0794502162196481</v>
      </c>
      <c r="K29" s="6">
        <f>200*(G29-H29)</f>
        <v>-1.1349989368523106</v>
      </c>
      <c r="L29" s="6">
        <f>(J29^2+K29^2)^0.5</f>
        <v>1.1377763064474598</v>
      </c>
      <c r="M29" s="6"/>
      <c r="N29" s="5"/>
      <c r="O29" s="6">
        <f>J29*(1+$N$30)</f>
        <v>0.11917504068197918</v>
      </c>
      <c r="P29" s="6">
        <f>(O29^2+K29^2)^0.5</f>
        <v>1.1412384838312395</v>
      </c>
      <c r="Q29" s="6"/>
      <c r="R29" s="7">
        <f>(ATAN2(O29,K29))*180/PI()</f>
        <v>-84.0058994458641</v>
      </c>
      <c r="S29" s="7">
        <f t="shared" si="9"/>
        <v>275.9941005541359</v>
      </c>
      <c r="T29" s="7"/>
      <c r="U29" s="6"/>
      <c r="V29" s="7"/>
      <c r="W29" s="6"/>
      <c r="X29" s="6"/>
      <c r="Y29" s="6"/>
      <c r="Z29" s="6"/>
      <c r="AA29" s="6"/>
      <c r="AB29" s="6"/>
      <c r="AC29" s="6"/>
      <c r="AD29" s="6"/>
      <c r="AE29" s="6"/>
    </row>
    <row r="30" spans="1:31" ht="12">
      <c r="A30" s="5" t="s">
        <v>53</v>
      </c>
      <c r="B30" s="5">
        <v>0.093262</v>
      </c>
      <c r="C30" s="5">
        <v>0.1</v>
      </c>
      <c r="D30" s="5">
        <v>0.145292</v>
      </c>
      <c r="E30" s="6">
        <f>IF(C30/$C$8&gt;0.008856,116*((C30/$C$8)^0.33333333)-16,903.3*C30/$C$8)</f>
        <v>0.9033</v>
      </c>
      <c r="F30" s="6">
        <f>IF(B30/$B$8&gt;0.008856,(B30/$B$8)^0.33333333,7.787*(B30/$B$8)+16/116)</f>
        <v>0.14559081229335022</v>
      </c>
      <c r="G30" s="6">
        <f>IF(C30/$C$8&gt;0.008856,(C30/$C$8)^0.33333333,7.787*(C30/$C$8)+16/116)</f>
        <v>0.1457180344827586</v>
      </c>
      <c r="H30" s="6">
        <f>IF(D30/$D$8&gt;0.008856,(D30/$D$8)^0.33333333,7.787*(D30/$D$8)+16/116)</f>
        <v>0.1484748054884993</v>
      </c>
      <c r="I30" s="6">
        <f>(E30+E29)/2</f>
        <v>1.4904449999999998</v>
      </c>
      <c r="J30" s="6">
        <f>500*(F30-G30)</f>
        <v>-0.06361109470419402</v>
      </c>
      <c r="K30" s="6">
        <f>200*(G30-H30)</f>
        <v>-0.5513542011481409</v>
      </c>
      <c r="L30" s="6">
        <f>(J30^2+K30^2)^0.5</f>
        <v>0.5550115552789605</v>
      </c>
      <c r="M30" s="6">
        <f>(L29+L30)/2</f>
        <v>0.8463939308632101</v>
      </c>
      <c r="N30" s="5">
        <f>0.5*(1-((M30^7)/(M30^7+25^7))^0.5)</f>
        <v>0.4999964298713526</v>
      </c>
      <c r="O30" s="6">
        <f>J30*(1+$N$30)</f>
        <v>-0.09541641495649952</v>
      </c>
      <c r="P30" s="6">
        <f>(O30^2+K30^2)^0.5</f>
        <v>0.5595495933041642</v>
      </c>
      <c r="Q30" s="6">
        <f>(P29+P30)/2</f>
        <v>0.8503940385677018</v>
      </c>
      <c r="R30" s="7">
        <f>(ATAN2(O30,K30))*180/PI()</f>
        <v>-99.8182640611321</v>
      </c>
      <c r="S30" s="7">
        <f t="shared" si="9"/>
        <v>260.1817359388679</v>
      </c>
      <c r="T30" s="7">
        <f t="shared" si="10"/>
        <v>268.0879182465019</v>
      </c>
      <c r="U30" s="6">
        <f>1-0.17*COS((T30-30)*PI()/180)+0.24*COS(2*T30*PI()/180)+0.32*COS((3*T30+6)*PI()/180)-0.2*COS((4*T30-63)*PI()/180)</f>
        <v>0.7826531583459884</v>
      </c>
      <c r="V30" s="7">
        <f>IF(ABS(S30-S29)&gt;180,IF(S30=MIN(S30,S29),S30-S29+360,S30-S29-360),S30-S29)</f>
        <v>-15.812364615267995</v>
      </c>
      <c r="W30" s="6">
        <f>E30-E29</f>
        <v>-1.1742899999999998</v>
      </c>
      <c r="X30" s="6">
        <f>P30-P29</f>
        <v>-0.5816888905270753</v>
      </c>
      <c r="Y30" s="6">
        <f>2*(P30*P29)^0.5*SIN((PI()/180)*V30/2)</f>
        <v>-0.21983790616181528</v>
      </c>
      <c r="Z30" s="6">
        <f>1+(0.015*(I30-50)^2)/((20+(I30-50)^2)^0.5)</f>
        <v>1.7245707227487332</v>
      </c>
      <c r="AA30" s="6">
        <f>1+0.045*Q30</f>
        <v>1.0382677317355467</v>
      </c>
      <c r="AB30" s="6">
        <f>1+0.015*Q30*U30</f>
        <v>1.0099834537018542</v>
      </c>
      <c r="AC30" s="6">
        <f>30*EXP(-1*((T30-275)/25)^2)</f>
        <v>27.792171574334322</v>
      </c>
      <c r="AD30" s="6">
        <f>-2*(Q30^7/(Q30^7+25^7))^0.5*SIN(2*AC30*PI()/180)</f>
        <v>-1.1976863454067691E-05</v>
      </c>
      <c r="AE30" s="6">
        <f>((W30/Z30)^2+(X30/AA30)^2+(Y30/AB30)^2+AD30*(X30/AA30)*(Y30/AB30))^0.5</f>
        <v>0.9082424105764311</v>
      </c>
    </row>
    <row r="31" spans="5:31" ht="12">
      <c r="E31" s="1"/>
      <c r="F31" s="1"/>
      <c r="G31" s="1"/>
      <c r="H31" s="1"/>
      <c r="I31" s="1"/>
      <c r="J31" s="1"/>
      <c r="K31" s="1"/>
      <c r="L31" s="1"/>
      <c r="M31" s="1"/>
      <c r="O31" s="1"/>
      <c r="P31" s="1"/>
      <c r="Q31" s="1"/>
      <c r="R31" s="2"/>
      <c r="S31" s="2"/>
      <c r="T31" s="2"/>
      <c r="U31" s="1"/>
      <c r="V31" s="2"/>
      <c r="W31" s="1"/>
      <c r="X31" s="1"/>
      <c r="Y31" s="1"/>
      <c r="Z31" s="1"/>
      <c r="AA31" s="1"/>
      <c r="AB31" s="1"/>
      <c r="AC31" s="1"/>
      <c r="AD31" s="1"/>
      <c r="AE31" s="1"/>
    </row>
    <row r="32" spans="5:31" ht="12">
      <c r="E32" s="1"/>
      <c r="F32" s="1"/>
      <c r="G32" s="1"/>
      <c r="H32" s="1"/>
      <c r="I32" s="1"/>
      <c r="J32" s="1"/>
      <c r="K32" s="1"/>
      <c r="L32" s="1"/>
      <c r="M32" s="1"/>
      <c r="O32" s="1"/>
      <c r="P32" s="1"/>
      <c r="Q32" s="1"/>
      <c r="R32" s="2"/>
      <c r="S32" s="2"/>
      <c r="T32" s="2"/>
      <c r="U32" s="1"/>
      <c r="V32" s="2"/>
      <c r="W32" s="1"/>
      <c r="X32" s="1"/>
      <c r="Y32" s="1"/>
      <c r="Z32" s="1"/>
      <c r="AA32" s="1"/>
      <c r="AB32" s="1"/>
      <c r="AC32" s="1"/>
      <c r="AD32" s="1"/>
      <c r="AE32" s="1"/>
    </row>
    <row r="33" spans="5:31" ht="12"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Q33" s="1"/>
      <c r="R33" s="2"/>
      <c r="S33" s="2"/>
      <c r="T33" s="2"/>
      <c r="U33" s="1"/>
      <c r="V33" s="2"/>
      <c r="W33" s="1"/>
      <c r="X33" s="1"/>
      <c r="Y33" s="1"/>
      <c r="Z33" s="1"/>
      <c r="AA33" s="1"/>
      <c r="AB33" s="1"/>
      <c r="AC33" s="1"/>
      <c r="AD33" s="1"/>
      <c r="AE33" s="1"/>
    </row>
    <row r="34" spans="5:31" ht="12"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Q34" s="1"/>
      <c r="R34" s="2"/>
      <c r="S34" s="2"/>
      <c r="T34" s="2"/>
      <c r="U34" s="1"/>
      <c r="V34" s="2"/>
      <c r="W34" s="1"/>
      <c r="X34" s="1"/>
      <c r="Y34" s="1"/>
      <c r="Z34" s="1"/>
      <c r="AA34" s="1"/>
      <c r="AB34" s="1"/>
      <c r="AC34" s="1"/>
      <c r="AD34" s="1"/>
      <c r="AE34" s="1"/>
    </row>
    <row r="35" spans="5:31" ht="12"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  <c r="Q35" s="1"/>
      <c r="R35" s="2"/>
      <c r="S35" s="2"/>
      <c r="T35" s="2"/>
      <c r="U35" s="1"/>
      <c r="V35" s="2"/>
      <c r="W35" s="1"/>
      <c r="X35" s="1"/>
      <c r="Y35" s="1"/>
      <c r="Z35" s="1"/>
      <c r="AA35" s="1"/>
      <c r="AB35" s="1"/>
      <c r="AC35" s="1"/>
      <c r="AD35" s="1"/>
      <c r="AE35" s="1"/>
    </row>
    <row r="36" spans="5:31" ht="12"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  <c r="Q36" s="1"/>
      <c r="R36" s="2"/>
      <c r="S36" s="2"/>
      <c r="T36" s="2"/>
      <c r="U36" s="1"/>
      <c r="V36" s="2"/>
      <c r="W36" s="1"/>
      <c r="X36" s="1"/>
      <c r="Y36" s="1"/>
      <c r="Z36" s="1"/>
      <c r="AA36" s="1"/>
      <c r="AB36" s="1"/>
      <c r="AC36" s="1"/>
      <c r="AD36" s="1"/>
      <c r="AE36" s="1"/>
    </row>
  </sheetData>
  <printOptions/>
  <pageMargins left="0.75" right="0.75" top="1" bottom="1" header="0.4921259845" footer="0.492125984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Witt</dc:creator>
  <cp:keywords/>
  <dc:description/>
  <cp:lastModifiedBy>Dave Wyble</cp:lastModifiedBy>
  <cp:lastPrinted>2001-07-06T06:52:29Z</cp:lastPrinted>
  <dcterms:created xsi:type="dcterms:W3CDTF">2001-07-04T08:44:17Z</dcterms:created>
  <cp:category/>
  <cp:version/>
  <cp:contentType/>
  <cp:contentStatus/>
</cp:coreProperties>
</file>